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Ừ NGỌC TRẦM - SỞ GT\TRẦM 2022\CÔNG KHAI DỰ  TOÁN\"/>
    </mc:Choice>
  </mc:AlternateContent>
  <bookViews>
    <workbookView xWindow="0" yWindow="0" windowWidth="24000" windowHeight="9735"/>
  </bookViews>
  <sheets>
    <sheet name="BS03.QIII-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mtc1">'[3]Sheet1 (4)'!$K$51</definedName>
    <definedName name="____nc1">'[3]Sheet1 (4)'!$J$51</definedName>
    <definedName name="____vl2" localSheetId="0">'[4]Sheet9 (2)'!#REF!</definedName>
    <definedName name="____vl2">'[4]Sheet9 (2)'!#REF!</definedName>
    <definedName name="___mtc1">'[3]Sheet1 (4)'!$K$51</definedName>
    <definedName name="___nc1">'[3]Sheet1 (4)'!$J$51</definedName>
    <definedName name="___vl2" localSheetId="0">'[4]Sheet9 (2)'!#REF!</definedName>
    <definedName name="___vl2">'[4]Sheet9 (2)'!#REF!</definedName>
    <definedName name="__mtc1">'[3]Sheet1 (4)'!$K$51</definedName>
    <definedName name="__nc1">'[3]Sheet1 (4)'!$J$51</definedName>
    <definedName name="__vl2" localSheetId="0">'[4]Sheet9 (2)'!#REF!</definedName>
    <definedName name="__vl2">'[4]Sheet9 (2)'!#REF!</definedName>
    <definedName name="_Fill" localSheetId="0" hidden="1">#REF!</definedName>
    <definedName name="_Fill" hidden="1">#REF!</definedName>
    <definedName name="_mtc1">'[3]Sheet1 (4)'!$K$51</definedName>
    <definedName name="_nc1">'[3]Sheet1 (4)'!$J$51</definedName>
    <definedName name="_vl2" localSheetId="0">'[4]Sheet9 (2)'!#REF!</definedName>
    <definedName name="_vl2">'[4]Sheet9 (2)'!#REF!</definedName>
    <definedName name="A" localSheetId="0">[5]Sheet26!#REF!</definedName>
    <definedName name="A">[5]Sheet26!#REF!</definedName>
    <definedName name="CONG" localSheetId="0">[5]Sheet26!#REF!</definedName>
    <definedName name="CONG">[5]Sheet26!#REF!</definedName>
    <definedName name="d0" localSheetId="0">[6]XDCB!#REF!</definedName>
    <definedName name="d0">[6]XDCB!#REF!</definedName>
    <definedName name="hh">[7]XL4Poppy!$B$1:$B$16</definedName>
    <definedName name="HNM" localSheetId="0">[5]Sheet26!#REF!</definedName>
    <definedName name="HNM">[5]Sheet26!#REF!</definedName>
    <definedName name="hung">'[8]Sheet1 (6)'!$I$16</definedName>
    <definedName name="HUYEÄN" localSheetId="0">[5]Sheet26!#REF!</definedName>
    <definedName name="HUYEÄN">[5]Sheet26!#REF!</definedName>
    <definedName name="MTC">'[9]Sheet1 (6)'!$J$16</definedName>
    <definedName name="n" localSheetId="0">#REF!</definedName>
    <definedName name="n">#REF!</definedName>
    <definedName name="NAÊM" localSheetId="0">[5]Sheet26!#REF!</definedName>
    <definedName name="NAÊM">[5]Sheet26!#REF!</definedName>
    <definedName name="NC">'[9]Sheet1 (6)'!$I$16</definedName>
    <definedName name="NGAØY" localSheetId="0">[5]Sheet26!#REF!</definedName>
    <definedName name="NGAØY">[5]Sheet26!#REF!</definedName>
    <definedName name="NHUT" localSheetId="0">'[10]BC L-V-Tam'!#REF!</definedName>
    <definedName name="NHUT">'[10]BC L-V-Tam'!#REF!</definedName>
    <definedName name="_xlnm.Print_Titles" localSheetId="0">'BS03.QIII-2022'!$10:$10</definedName>
    <definedName name="PTVT">'[11]Sheet1 (6)'!$I$16</definedName>
    <definedName name="SOÁ_HÑ" localSheetId="0">[5]Sheet26!#REF!</definedName>
    <definedName name="SOÁ_HÑ">[5]Sheet26!#REF!</definedName>
    <definedName name="SÔÛ_GT" localSheetId="0">[5]Sheet26!#REF!</definedName>
    <definedName name="SÔÛ_GT">[5]Sheet26!#REF!</definedName>
    <definedName name="TEÂN_COÂNG_TRÌNH" localSheetId="0">[5]Sheet26!#REF!</definedName>
    <definedName name="TEÂN_COÂNG_TRÌNH">[5]Sheet26!#REF!</definedName>
    <definedName name="TKCONG" localSheetId="0">[5]Sheet26!#REF!</definedName>
    <definedName name="TKCONG">[5]Sheet26!#REF!</definedName>
    <definedName name="TT" localSheetId="0">[5]Sheet26!#REF!</definedName>
    <definedName name="TT">[5]Sheet26!#REF!</definedName>
    <definedName name="THAÙNG" localSheetId="0">[5]Sheet26!#REF!</definedName>
    <definedName name="THAÙNG">[5]Sheet26!#REF!</definedName>
    <definedName name="VB" localSheetId="0">[5]Sheet26!#REF!</definedName>
    <definedName name="VB">[5]Sheet26!#REF!</definedName>
    <definedName name="VL">'[9]Sheet2 (2)'!$F$15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1" l="1"/>
  <c r="H73" i="1"/>
  <c r="G73" i="1"/>
  <c r="E73" i="1"/>
  <c r="F73" i="1" s="1"/>
  <c r="D73" i="1"/>
  <c r="F72" i="1"/>
  <c r="G70" i="1"/>
  <c r="F70" i="1"/>
  <c r="E70" i="1"/>
  <c r="D70" i="1"/>
  <c r="H69" i="1"/>
  <c r="F69" i="1"/>
  <c r="E69" i="1"/>
  <c r="G68" i="1"/>
  <c r="F68" i="1"/>
  <c r="E68" i="1"/>
  <c r="H68" i="1" s="1"/>
  <c r="D68" i="1"/>
  <c r="F67" i="1"/>
  <c r="E67" i="1"/>
  <c r="H67" i="1" s="1"/>
  <c r="E66" i="1"/>
  <c r="H66" i="1" s="1"/>
  <c r="H64" i="1" s="1"/>
  <c r="H63" i="1" s="1"/>
  <c r="G64" i="1"/>
  <c r="E64" i="1"/>
  <c r="E63" i="1" s="1"/>
  <c r="D64" i="1"/>
  <c r="D63" i="1" s="1"/>
  <c r="D62" i="1" s="1"/>
  <c r="G63" i="1"/>
  <c r="G62" i="1"/>
  <c r="D61" i="1"/>
  <c r="E60" i="1"/>
  <c r="H60" i="1" s="1"/>
  <c r="D60" i="1"/>
  <c r="E59" i="1"/>
  <c r="H59" i="1" s="1"/>
  <c r="D59" i="1"/>
  <c r="E58" i="1"/>
  <c r="H58" i="1" s="1"/>
  <c r="D58" i="1"/>
  <c r="D57" i="1"/>
  <c r="F57" i="1" s="1"/>
  <c r="F56" i="1"/>
  <c r="D56" i="1"/>
  <c r="E55" i="1"/>
  <c r="F55" i="1" s="1"/>
  <c r="D55" i="1"/>
  <c r="F54" i="1"/>
  <c r="D54" i="1"/>
  <c r="H53" i="1"/>
  <c r="F53" i="1"/>
  <c r="E53" i="1"/>
  <c r="D53" i="1"/>
  <c r="D52" i="1"/>
  <c r="D51" i="1" s="1"/>
  <c r="G51" i="1"/>
  <c r="E51" i="1"/>
  <c r="H51" i="1" s="1"/>
  <c r="H49" i="1"/>
  <c r="F49" i="1"/>
  <c r="E49" i="1"/>
  <c r="D49" i="1"/>
  <c r="H48" i="1"/>
  <c r="F48" i="1"/>
  <c r="D48" i="1"/>
  <c r="H47" i="1"/>
  <c r="F47" i="1"/>
  <c r="D47" i="1"/>
  <c r="H46" i="1"/>
  <c r="D46" i="1"/>
  <c r="D45" i="1" s="1"/>
  <c r="G45" i="1"/>
  <c r="E45" i="1"/>
  <c r="H45" i="1" s="1"/>
  <c r="G44" i="1"/>
  <c r="G42" i="1" s="1"/>
  <c r="G43" i="1"/>
  <c r="H41" i="1"/>
  <c r="D41" i="1"/>
  <c r="F41" i="1" s="1"/>
  <c r="H38" i="1"/>
  <c r="G38" i="1"/>
  <c r="E38" i="1"/>
  <c r="F38" i="1" s="1"/>
  <c r="D38" i="1"/>
  <c r="G37" i="1"/>
  <c r="E37" i="1"/>
  <c r="H37" i="1" s="1"/>
  <c r="D37" i="1"/>
  <c r="E36" i="1"/>
  <c r="D36" i="1"/>
  <c r="H35" i="1"/>
  <c r="E35" i="1"/>
  <c r="H34" i="1"/>
  <c r="E34" i="1"/>
  <c r="E33" i="1" s="1"/>
  <c r="G33" i="1"/>
  <c r="G32" i="1" s="1"/>
  <c r="D30" i="1"/>
  <c r="D29" i="1"/>
  <c r="H28" i="1"/>
  <c r="F28" i="1"/>
  <c r="D28" i="1"/>
  <c r="H27" i="1"/>
  <c r="D27" i="1"/>
  <c r="D26" i="1" s="1"/>
  <c r="D24" i="1" s="1"/>
  <c r="D23" i="1" s="1"/>
  <c r="G26" i="1"/>
  <c r="E26" i="1"/>
  <c r="H26" i="1" s="1"/>
  <c r="G24" i="1"/>
  <c r="G23" i="1"/>
  <c r="H22" i="1"/>
  <c r="F22" i="1"/>
  <c r="D22" i="1"/>
  <c r="E21" i="1"/>
  <c r="F21" i="1" s="1"/>
  <c r="D21" i="1"/>
  <c r="H20" i="1"/>
  <c r="D20" i="1"/>
  <c r="D19" i="1" s="1"/>
  <c r="G19" i="1"/>
  <c r="E19" i="1"/>
  <c r="H19" i="1" s="1"/>
  <c r="H18" i="1"/>
  <c r="H16" i="1"/>
  <c r="F16" i="1"/>
  <c r="D16" i="1"/>
  <c r="D35" i="1" s="1"/>
  <c r="F35" i="1" s="1"/>
  <c r="H15" i="1"/>
  <c r="D15" i="1"/>
  <c r="D14" i="1" s="1"/>
  <c r="D13" i="1" s="1"/>
  <c r="D12" i="1" s="1"/>
  <c r="G14" i="1"/>
  <c r="E14" i="1"/>
  <c r="H14" i="1" s="1"/>
  <c r="G13" i="1"/>
  <c r="G12" i="1"/>
  <c r="D44" i="1" l="1"/>
  <c r="D43" i="1" s="1"/>
  <c r="D42" i="1" s="1"/>
  <c r="F63" i="1"/>
  <c r="E62" i="1"/>
  <c r="H33" i="1"/>
  <c r="E32" i="1"/>
  <c r="F64" i="1"/>
  <c r="F66" i="1"/>
  <c r="F20" i="1"/>
  <c r="F26" i="1"/>
  <c r="F27" i="1"/>
  <c r="F45" i="1"/>
  <c r="F46" i="1"/>
  <c r="F51" i="1"/>
  <c r="F52" i="1"/>
  <c r="F58" i="1"/>
  <c r="F59" i="1"/>
  <c r="F60" i="1"/>
  <c r="D34" i="1"/>
  <c r="K47" i="1"/>
  <c r="F14" i="1"/>
  <c r="F15" i="1"/>
  <c r="F19" i="1"/>
  <c r="E13" i="1"/>
  <c r="E24" i="1"/>
  <c r="E44" i="1"/>
  <c r="D33" i="1" l="1"/>
  <c r="F34" i="1"/>
  <c r="F62" i="1"/>
  <c r="H62" i="1"/>
  <c r="K49" i="1"/>
  <c r="H44" i="1"/>
  <c r="E43" i="1"/>
  <c r="F44" i="1"/>
  <c r="H32" i="1"/>
  <c r="H13" i="1"/>
  <c r="E12" i="1"/>
  <c r="F13" i="1"/>
  <c r="F24" i="1"/>
  <c r="H24" i="1"/>
  <c r="E23" i="1"/>
  <c r="F12" i="1" l="1"/>
  <c r="H12" i="1"/>
  <c r="F43" i="1"/>
  <c r="H43" i="1"/>
  <c r="E42" i="1"/>
  <c r="F23" i="1"/>
  <c r="H23" i="1"/>
  <c r="D32" i="1"/>
  <c r="F32" i="1" s="1"/>
  <c r="F33" i="1"/>
  <c r="F42" i="1" l="1"/>
  <c r="H42" i="1"/>
</calcChain>
</file>

<file path=xl/sharedStrings.xml><?xml version="1.0" encoding="utf-8"?>
<sst xmlns="http://schemas.openxmlformats.org/spreadsheetml/2006/main" count="130" uniqueCount="104">
  <si>
    <t>Biểu số 3 - Ban hành kèm theo Thông tư số 90/2018/TT-BTC ngày 28/9/2018 của Bộ Tài chính</t>
  </si>
  <si>
    <t>Đơn vị: Sở Giao thông vận tải Tây Ninh</t>
  </si>
  <si>
    <t>Chương: 421</t>
  </si>
  <si>
    <t>CÔNG KHAI THỰC HIỆN DỰ TOÁN THU - CHI NGÂN SÁCH
 QUÝ III NĂM 2022</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</si>
  <si>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</si>
  <si>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</si>
  <si>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III năm 2022 như sau:</t>
  </si>
  <si>
    <t>ĐVT: Triệu đồng</t>
  </si>
  <si>
    <t>STT</t>
  </si>
  <si>
    <t>Nội dung</t>
  </si>
  <si>
    <t>Dự toán năm 2022</t>
  </si>
  <si>
    <t>Thực hiện quý III năm 2022</t>
  </si>
  <si>
    <t>Thực hiện quý III năm 2022/Dự toán năm 2022 (tỷ lệ %)</t>
  </si>
  <si>
    <t>Cùng kỳ năm 2021
(đồng)</t>
  </si>
  <si>
    <t>Thực hiện quý III năm 2022 so với cùng kỳ năm 2021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</si>
  <si>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</si>
  <si>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</si>
  <si>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</si>
  <si>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</si>
  <si>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</si>
  <si>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</si>
  <si>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</si>
  <si>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</si>
  <si>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cấp CN đăng ký và biển số xe</t>
    </r>
    <r>
      <rPr>
        <b/>
        <sz val="9"/>
        <color indexed="8"/>
        <rFont val="Times New Roman"/>
        <family val="1"/>
      </rPr>
      <t xml:space="preserve"> (U1)</t>
    </r>
  </si>
  <si>
    <t>1.3</t>
  </si>
  <si>
    <r>
      <t xml:space="preserve">Lệ phí cấp, đổi bằng thuyền, máy trưởng </t>
    </r>
    <r>
      <rPr>
        <b/>
        <sz val="9"/>
        <color indexed="8"/>
        <rFont val="Times New Roman"/>
        <family val="1"/>
      </rPr>
      <t>(O)</t>
    </r>
  </si>
  <si>
    <t>1.4</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</si>
  <si>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</si>
  <si>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</si>
  <si>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</si>
  <si>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</si>
  <si>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</si>
  <si>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</si>
  <si>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</si>
  <si>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</si>
  <si>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</si>
  <si>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</si>
  <si>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</si>
  <si>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</si>
  <si>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</si>
  <si>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</si>
  <si>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</si>
  <si>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</si>
  <si>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</si>
  <si>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</si>
  <si>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sửa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</si>
  <si>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</si>
  <si>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</si>
  <si>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</si>
  <si>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</si>
  <si>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</si>
  <si>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</si>
  <si>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</si>
  <si>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</si>
  <si>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</si>
  <si>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</si>
  <si>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</si>
  <si>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</si>
  <si>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</si>
  <si>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</si>
  <si>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 xml:space="preserve">Chi thanh toán cá nhân </t>
  </si>
  <si>
    <t>1.1.2</t>
  </si>
  <si>
    <t>1.1.3</t>
  </si>
  <si>
    <t>Chi mua sắm, sữa chữa</t>
  </si>
  <si>
    <t>1.1.4</t>
  </si>
  <si>
    <t>1.1.5</t>
  </si>
  <si>
    <t xml:space="preserve">KP tiết kiệm 10% THCCTL- TC13.14 </t>
  </si>
  <si>
    <t>1.2.1</t>
  </si>
  <si>
    <t>KP chi cho CB làm đầu mối KSTTHC</t>
  </si>
  <si>
    <t>1.2.2</t>
  </si>
  <si>
    <t>KP hoạt động của tổ chức cơ sở Đảng</t>
  </si>
  <si>
    <t>1.2.3</t>
  </si>
  <si>
    <t>KP đối nội, đối ngoại</t>
  </si>
  <si>
    <t>1.2.4</t>
  </si>
  <si>
    <t>KP thuê tư vấn lập chỉ số giá xây dựng</t>
  </si>
  <si>
    <t>1.2.5</t>
  </si>
  <si>
    <t>KP duy trì hệ thống quản lý chất lượng (ISO)</t>
  </si>
  <si>
    <t>1.2.6</t>
  </si>
  <si>
    <t>KP rà soát văn bản quy phạm pháp luật</t>
  </si>
  <si>
    <t>1.2.7</t>
  </si>
  <si>
    <t>KP chi mua sắm, sửa chữa</t>
  </si>
  <si>
    <t>1.2.8</t>
  </si>
  <si>
    <t>KP chi cho công tác thu lệ phí</t>
  </si>
  <si>
    <t>1.2.9</t>
  </si>
  <si>
    <t>KP hoạt động của nhóm công tác thực hiện những giải pháp mang tính đột phá về phát triển KT-XH lĩnh vực hạ tầng giao thông</t>
  </si>
  <si>
    <t>1.2.10</t>
  </si>
  <si>
    <t>KP chi trợ cấp thôi việc theo NĐ 46/NĐ-CP</t>
  </si>
  <si>
    <t>Chi sự nghiệp giao thông</t>
  </si>
  <si>
    <t>2.2.1</t>
  </si>
  <si>
    <t>KP sửa chữa nhà làm việc</t>
  </si>
  <si>
    <t>KP bảo trì đường bộ_NST</t>
  </si>
  <si>
    <t>2.2.2</t>
  </si>
  <si>
    <t>KP kiểm tra xử lý lục bình</t>
  </si>
  <si>
    <t>Chi sự nghiệp giao thông(NS TW)</t>
  </si>
  <si>
    <t>KP bảo trì đường bộ</t>
  </si>
  <si>
    <t xml:space="preserve">Chi Đảm bảo xã hội </t>
  </si>
  <si>
    <t>KP hỗ trợ Tết Nguyên Đán 2022</t>
  </si>
  <si>
    <t>KP thực hiện CTMTQG XD NTM (NS TW)</t>
  </si>
  <si>
    <t>C</t>
  </si>
  <si>
    <t>Dự toán chi nguồn khác</t>
  </si>
  <si>
    <t>Nguồn chi QLDA(phần chủ đầu tư được hưởng)</t>
  </si>
  <si>
    <t xml:space="preserve">Nguồn trích 40% THCCTL </t>
  </si>
  <si>
    <t>Ngày 14 tháng 10 năm 2022</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</si>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</sst>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F_B_-;\-* #,##0.00\ _F_B_-;_-* &quot;-&quot;??\ _F_B_-;_-@_-"/>
    <numFmt numFmtId="165" formatCode="#,##0.00_ ;\-#,##0.00\ "/>
    <numFmt numFmtId="166" formatCode="0.000000"/>
    <numFmt numFmtId="167" formatCode="#,##0.000000_ ;\-#,##0.000000\ "/>
  </numFmts>
  <fonts count="39" x14ac:knownFonts="1">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4"/>
      <name val="Times New Roman"/>
      <family val="1"/>
    </font>
    <font>
      <sz val="13"/>
      <name val="Times New Roman"/>
      <family val="1"/>
    </font>
    <font>
      <sz val="13"/>
      <color rgb="FF000000"/>
      <name val="Times New Roman"/>
      <family val="1"/>
    </font>
    <font>
      <sz val="12"/>
      <name val="Times New Roman"/>
      <family val="1"/>
    </font>
    <font>
      <sz val="11"/>
      <name val="Times New Roman"/>
      <family val="1"/>
    </font>
    <font>
      <sz val="11"/>
      <color rgb="FFFF0000"/>
      <name val="Times New Roman"/>
      <family val="1"/>
    </font>
    <font>
      <i/>
      <sz val="10"/>
      <name val="Times New Roman"/>
      <family val="1"/>
    </font>
    <font>
      <i/>
      <sz val="9"/>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9"/>
      <color rgb="FFFF0000"/>
      <name val="Times New Roman"/>
      <family val="1"/>
    </font>
    <font>
      <b/>
      <sz val="9"/>
      <color rgb="FFFF0000"/>
      <name val="Times New Roman"/>
      <family val="1"/>
    </font>
    <font>
      <b/>
      <u/>
      <sz val="9"/>
      <color rgb="FFFF0000"/>
      <name val="Times New Roman"/>
      <family val="1"/>
    </font>
    <font>
      <b/>
      <i/>
      <sz val="9"/>
      <name val="Times New Roman"/>
      <family val="1"/>
    </font>
    <font>
      <b/>
      <i/>
      <u/>
      <sz val="9"/>
      <name val="Times New Roman"/>
      <family val="1"/>
    </font>
    <font>
      <u/>
      <sz val="9"/>
      <color rgb="FFFF0000"/>
      <name val="Times New Roman"/>
      <family val="1"/>
    </font>
    <font>
      <i/>
      <sz val="9"/>
      <color rgb="FFFF0000"/>
      <name val="Times New Roman"/>
      <family val="1"/>
    </font>
    <font>
      <b/>
      <sz val="8"/>
      <name val="Times New Roman"/>
      <family val="1"/>
    </font>
    <font>
      <b/>
      <sz val="1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21" fillId="0" borderId="0"/>
    <xf numFmtId="0" fontId="1" fillId="0" borderId="0"/>
  </cellStyleXfs>
  <cellXfs count="131">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2" fontId="5" fillId="0" borderId="0" xfId="0" applyNumberFormat="1" applyFont="1" applyAlignment="1">
      <alignment horizontal="center" vertical="center"/>
    </xf>
    <xf numFmtId="0" fontId="6" fillId="0" borderId="0" xfId="0" applyFont="1" applyAlignment="1">
      <alignment horizontal="left" vertical="center"/>
    </xf>
    <xf numFmtId="2" fontId="3" fillId="0" borderId="0" xfId="0" applyNumberFormat="1" applyFont="1" applyAlignment="1">
      <alignment vertical="center"/>
    </xf>
    <xf numFmtId="2" fontId="7" fillId="0" borderId="0" xfId="0" applyNumberFormat="1" applyFont="1" applyAlignment="1">
      <alignment vertical="center"/>
    </xf>
    <xf numFmtId="0" fontId="8"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2" fontId="13"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1" xfId="0" applyFont="1" applyBorder="1" applyAlignment="1">
      <alignment horizontal="center" vertical="center" wrapText="1"/>
    </xf>
    <xf numFmtId="2" fontId="16"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16" fillId="2" borderId="3" xfId="0" applyFont="1" applyFill="1" applyBorder="1" applyAlignment="1">
      <alignment horizontal="center" vertical="center"/>
    </xf>
    <xf numFmtId="0" fontId="19" fillId="2" borderId="3" xfId="0" applyFont="1" applyFill="1" applyBorder="1" applyAlignment="1">
      <alignment horizontal="left" vertical="center"/>
    </xf>
    <xf numFmtId="165" fontId="19" fillId="2" borderId="3" xfId="1" applyNumberFormat="1" applyFont="1" applyFill="1" applyBorder="1" applyAlignment="1">
      <alignment vertical="center" wrapText="1"/>
    </xf>
    <xf numFmtId="9" fontId="19" fillId="3" borderId="4" xfId="2" applyFont="1" applyFill="1" applyBorder="1" applyAlignment="1">
      <alignment vertical="center"/>
    </xf>
    <xf numFmtId="4" fontId="19" fillId="2" borderId="3" xfId="0" applyNumberFormat="1" applyFont="1" applyFill="1" applyBorder="1" applyAlignment="1">
      <alignment horizontal="right" vertical="center" wrapText="1"/>
    </xf>
    <xf numFmtId="9" fontId="19" fillId="2" borderId="3" xfId="2" applyFont="1" applyFill="1" applyBorder="1" applyAlignment="1">
      <alignment horizontal="right" vertical="center" wrapText="1"/>
    </xf>
    <xf numFmtId="0" fontId="17" fillId="0" borderId="5" xfId="0" applyFont="1" applyBorder="1" applyAlignment="1">
      <alignment horizontal="center" vertical="center"/>
    </xf>
    <xf numFmtId="0" fontId="17" fillId="0" borderId="5" xfId="0" applyFont="1" applyBorder="1" applyAlignment="1">
      <alignment vertical="center"/>
    </xf>
    <xf numFmtId="165" fontId="16" fillId="0" borderId="5" xfId="1" applyNumberFormat="1" applyFont="1" applyBorder="1" applyAlignment="1">
      <alignment vertical="center"/>
    </xf>
    <xf numFmtId="9" fontId="16" fillId="4" borderId="4" xfId="2" applyFont="1" applyFill="1" applyBorder="1" applyAlignment="1">
      <alignment vertical="center"/>
    </xf>
    <xf numFmtId="4" fontId="16" fillId="0" borderId="5" xfId="0" applyNumberFormat="1" applyFont="1" applyBorder="1" applyAlignment="1">
      <alignment vertical="center"/>
    </xf>
    <xf numFmtId="9" fontId="16" fillId="0" borderId="5" xfId="2" applyFont="1" applyBorder="1" applyAlignment="1">
      <alignment vertical="center"/>
    </xf>
    <xf numFmtId="0" fontId="20" fillId="0" borderId="5" xfId="0" applyFont="1" applyBorder="1" applyAlignment="1">
      <alignment horizontal="center" vertical="center"/>
    </xf>
    <xf numFmtId="3" fontId="20" fillId="0" borderId="5" xfId="3" applyNumberFormat="1" applyFont="1" applyFill="1" applyBorder="1" applyAlignment="1">
      <alignment vertical="center"/>
    </xf>
    <xf numFmtId="165" fontId="23" fillId="0" borderId="5" xfId="1" applyNumberFormat="1" applyFont="1" applyBorder="1" applyAlignment="1">
      <alignment vertical="center"/>
    </xf>
    <xf numFmtId="9" fontId="23" fillId="4" borderId="4" xfId="2" applyFont="1" applyFill="1" applyBorder="1" applyAlignment="1">
      <alignment vertical="center"/>
    </xf>
    <xf numFmtId="9" fontId="23" fillId="0" borderId="5" xfId="2" applyFont="1" applyBorder="1" applyAlignment="1">
      <alignment vertical="center"/>
    </xf>
    <xf numFmtId="3" fontId="20" fillId="0" borderId="5" xfId="3" applyNumberFormat="1" applyFont="1" applyBorder="1" applyAlignment="1">
      <alignment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23" fillId="0" borderId="5" xfId="0" applyFont="1" applyBorder="1" applyAlignment="1">
      <alignment horizontal="center" vertical="center"/>
    </xf>
    <xf numFmtId="3" fontId="23" fillId="0" borderId="5" xfId="3" applyNumberFormat="1" applyFont="1" applyBorder="1" applyAlignment="1">
      <alignment vertical="center"/>
    </xf>
    <xf numFmtId="9" fontId="19" fillId="4" borderId="4" xfId="2" applyFont="1" applyFill="1" applyBorder="1" applyAlignment="1">
      <alignment vertical="center"/>
    </xf>
    <xf numFmtId="0" fontId="20" fillId="0" borderId="5" xfId="0" applyFont="1" applyFill="1" applyBorder="1" applyAlignment="1">
      <alignment horizontal="center" vertical="center"/>
    </xf>
    <xf numFmtId="0" fontId="20" fillId="0" borderId="5" xfId="0" applyFont="1" applyFill="1" applyBorder="1" applyAlignment="1">
      <alignment vertical="center"/>
    </xf>
    <xf numFmtId="165" fontId="23" fillId="0" borderId="5" xfId="1" applyNumberFormat="1" applyFont="1" applyFill="1" applyBorder="1" applyAlignment="1">
      <alignment vertical="center"/>
    </xf>
    <xf numFmtId="9" fontId="23" fillId="0" borderId="4" xfId="2" applyFont="1" applyFill="1" applyBorder="1" applyAlignment="1">
      <alignment vertical="center"/>
    </xf>
    <xf numFmtId="9" fontId="23" fillId="0" borderId="5" xfId="2" applyFont="1" applyFill="1" applyBorder="1" applyAlignment="1">
      <alignment vertical="center"/>
    </xf>
    <xf numFmtId="0" fontId="3" fillId="0" borderId="0" xfId="0" applyFont="1" applyFill="1" applyAlignment="1">
      <alignment vertical="center"/>
    </xf>
    <xf numFmtId="4" fontId="23" fillId="0" borderId="5" xfId="0" applyNumberFormat="1" applyFont="1" applyFill="1" applyBorder="1" applyAlignment="1">
      <alignment vertical="center"/>
    </xf>
    <xf numFmtId="165" fontId="24" fillId="0" borderId="5" xfId="1" applyNumberFormat="1" applyFont="1" applyFill="1" applyBorder="1" applyAlignment="1">
      <alignment vertical="center"/>
    </xf>
    <xf numFmtId="165" fontId="25" fillId="0" borderId="5" xfId="1" applyNumberFormat="1" applyFont="1" applyBorder="1" applyAlignment="1">
      <alignment vertical="center"/>
    </xf>
    <xf numFmtId="9" fontId="26" fillId="4" borderId="4" xfId="2" applyFont="1" applyFill="1" applyBorder="1" applyAlignment="1">
      <alignment vertical="center"/>
    </xf>
    <xf numFmtId="4" fontId="25" fillId="0" borderId="5" xfId="0" applyNumberFormat="1" applyFont="1" applyBorder="1" applyAlignment="1">
      <alignment vertical="center"/>
    </xf>
    <xf numFmtId="9" fontId="25" fillId="0" borderId="5" xfId="2" applyFont="1" applyBorder="1" applyAlignment="1">
      <alignment vertical="center"/>
    </xf>
    <xf numFmtId="4" fontId="23" fillId="0" borderId="5" xfId="0" applyNumberFormat="1" applyFont="1" applyBorder="1" applyAlignment="1">
      <alignment vertical="center"/>
    </xf>
    <xf numFmtId="0" fontId="19" fillId="3" borderId="5" xfId="0" applyFont="1" applyFill="1" applyBorder="1" applyAlignment="1">
      <alignment horizontal="center" vertical="center"/>
    </xf>
    <xf numFmtId="0" fontId="19" fillId="3" borderId="5" xfId="0" applyFont="1" applyFill="1" applyBorder="1" applyAlignment="1">
      <alignment vertical="center"/>
    </xf>
    <xf numFmtId="4" fontId="19" fillId="3" borderId="5" xfId="1" applyNumberFormat="1" applyFont="1" applyFill="1" applyBorder="1" applyAlignment="1">
      <alignment vertical="center"/>
    </xf>
    <xf numFmtId="4" fontId="19" fillId="3" borderId="5" xfId="0" applyNumberFormat="1" applyFont="1" applyFill="1" applyBorder="1" applyAlignment="1">
      <alignment vertical="center"/>
    </xf>
    <xf numFmtId="9" fontId="19" fillId="3" borderId="5" xfId="2" applyFont="1" applyFill="1" applyBorder="1" applyAlignment="1">
      <alignment vertical="center"/>
    </xf>
    <xf numFmtId="0" fontId="16" fillId="4" borderId="5" xfId="0" applyFont="1" applyFill="1" applyBorder="1" applyAlignment="1">
      <alignment horizontal="center" vertical="center"/>
    </xf>
    <xf numFmtId="0" fontId="16" fillId="4" borderId="5" xfId="0" applyFont="1" applyFill="1" applyBorder="1" applyAlignment="1">
      <alignment vertical="center"/>
    </xf>
    <xf numFmtId="4" fontId="16" fillId="4" borderId="5" xfId="1" applyNumberFormat="1" applyFont="1" applyFill="1" applyBorder="1" applyAlignment="1">
      <alignment vertical="center"/>
    </xf>
    <xf numFmtId="165" fontId="16" fillId="4" borderId="5" xfId="1" applyNumberFormat="1" applyFont="1" applyFill="1" applyBorder="1" applyAlignment="1">
      <alignment vertical="center"/>
    </xf>
    <xf numFmtId="9" fontId="16" fillId="4" borderId="5" xfId="2" applyFont="1" applyFill="1" applyBorder="1" applyAlignment="1">
      <alignment vertical="center"/>
    </xf>
    <xf numFmtId="4" fontId="16" fillId="0" borderId="5" xfId="1" applyNumberFormat="1" applyFont="1" applyBorder="1" applyAlignment="1">
      <alignment vertical="center"/>
    </xf>
    <xf numFmtId="0" fontId="27" fillId="0" borderId="5" xfId="0" applyFont="1" applyBorder="1" applyAlignment="1">
      <alignment horizontal="center" vertical="center"/>
    </xf>
    <xf numFmtId="0" fontId="27" fillId="0" borderId="5" xfId="0" applyFont="1" applyBorder="1" applyAlignment="1">
      <alignment vertical="center" wrapText="1"/>
    </xf>
    <xf numFmtId="165" fontId="27" fillId="0" borderId="5" xfId="1" applyNumberFormat="1" applyFont="1" applyBorder="1" applyAlignment="1">
      <alignment vertical="center"/>
    </xf>
    <xf numFmtId="9" fontId="27" fillId="0" borderId="5" xfId="2" applyFont="1" applyBorder="1" applyAlignment="1">
      <alignment vertical="center"/>
    </xf>
    <xf numFmtId="4" fontId="27" fillId="0" borderId="5" xfId="0" applyNumberFormat="1" applyFont="1" applyBorder="1" applyAlignment="1">
      <alignment vertical="center"/>
    </xf>
    <xf numFmtId="0" fontId="23" fillId="0" borderId="5" xfId="0" applyFont="1" applyBorder="1" applyAlignment="1">
      <alignment vertical="center"/>
    </xf>
    <xf numFmtId="4" fontId="23" fillId="0" borderId="5" xfId="1" applyNumberFormat="1" applyFont="1" applyBorder="1" applyAlignment="1">
      <alignment vertical="center"/>
    </xf>
    <xf numFmtId="165" fontId="3" fillId="0" borderId="0" xfId="0" applyNumberFormat="1" applyFont="1" applyAlignment="1">
      <alignment vertical="center"/>
    </xf>
    <xf numFmtId="4" fontId="3" fillId="0" borderId="0" xfId="0" applyNumberFormat="1" applyFont="1" applyAlignment="1">
      <alignment vertical="center"/>
    </xf>
    <xf numFmtId="2" fontId="24" fillId="0" borderId="5" xfId="1" applyNumberFormat="1" applyFont="1" applyBorder="1" applyAlignment="1">
      <alignment vertical="center"/>
    </xf>
    <xf numFmtId="0" fontId="27" fillId="0" borderId="5" xfId="0" applyFont="1" applyBorder="1" applyAlignment="1">
      <alignment vertical="center"/>
    </xf>
    <xf numFmtId="4" fontId="27" fillId="0" borderId="5" xfId="1" applyNumberFormat="1" applyFont="1" applyBorder="1" applyAlignment="1">
      <alignment vertical="center"/>
    </xf>
    <xf numFmtId="9" fontId="27" fillId="4" borderId="4" xfId="2" applyFont="1" applyFill="1" applyBorder="1" applyAlignment="1">
      <alignment vertical="center"/>
    </xf>
    <xf numFmtId="2" fontId="23" fillId="0" borderId="5" xfId="1" applyNumberFormat="1" applyFont="1" applyBorder="1" applyAlignment="1">
      <alignment vertical="center"/>
    </xf>
    <xf numFmtId="166" fontId="3" fillId="0" borderId="0" xfId="0" applyNumberFormat="1" applyFont="1" applyAlignment="1">
      <alignment vertical="center"/>
    </xf>
    <xf numFmtId="167" fontId="3" fillId="0" borderId="0" xfId="0" applyNumberFormat="1" applyFont="1" applyAlignment="1">
      <alignment vertical="center"/>
    </xf>
    <xf numFmtId="0" fontId="23" fillId="0" borderId="5" xfId="0" applyFont="1" applyBorder="1" applyAlignment="1">
      <alignment vertical="center" wrapText="1"/>
    </xf>
    <xf numFmtId="2" fontId="23" fillId="0" borderId="5" xfId="1" quotePrefix="1" applyNumberFormat="1" applyFont="1" applyBorder="1" applyAlignment="1">
      <alignment vertical="center"/>
    </xf>
    <xf numFmtId="9" fontId="28" fillId="4" borderId="4" xfId="2" applyFont="1" applyFill="1" applyBorder="1" applyAlignment="1">
      <alignment vertical="center"/>
    </xf>
    <xf numFmtId="0" fontId="15" fillId="0" borderId="5" xfId="0" applyFont="1" applyBorder="1" applyAlignment="1">
      <alignment horizontal="center" vertical="center"/>
    </xf>
    <xf numFmtId="4" fontId="24" fillId="0" borderId="5" xfId="1" applyNumberFormat="1" applyFont="1" applyBorder="1" applyAlignment="1">
      <alignment vertical="center"/>
    </xf>
    <xf numFmtId="9" fontId="29" fillId="4" borderId="4" xfId="2" applyFont="1" applyFill="1" applyBorder="1" applyAlignment="1">
      <alignment vertical="center"/>
    </xf>
    <xf numFmtId="9" fontId="24" fillId="0" borderId="5" xfId="2" applyFont="1" applyBorder="1" applyAlignment="1">
      <alignment vertical="center"/>
    </xf>
    <xf numFmtId="0" fontId="15" fillId="0" borderId="5" xfId="0" applyFont="1" applyBorder="1" applyAlignment="1">
      <alignment vertical="center" wrapText="1"/>
    </xf>
    <xf numFmtId="4" fontId="15" fillId="0" borderId="5" xfId="1" applyNumberFormat="1" applyFont="1" applyBorder="1" applyAlignment="1">
      <alignment vertical="center"/>
    </xf>
    <xf numFmtId="165" fontId="30" fillId="0" borderId="5" xfId="1" applyNumberFormat="1" applyFont="1" applyBorder="1" applyAlignment="1">
      <alignment vertical="center"/>
    </xf>
    <xf numFmtId="4" fontId="15" fillId="0" borderId="5" xfId="0" applyNumberFormat="1" applyFont="1" applyBorder="1" applyAlignment="1">
      <alignment vertical="center"/>
    </xf>
    <xf numFmtId="0" fontId="16" fillId="0" borderId="6" xfId="0" applyFont="1" applyBorder="1" applyAlignment="1">
      <alignment horizontal="center" vertical="center"/>
    </xf>
    <xf numFmtId="4" fontId="27" fillId="0" borderId="6" xfId="1" applyNumberFormat="1" applyFont="1" applyBorder="1" applyAlignment="1">
      <alignment vertical="center"/>
    </xf>
    <xf numFmtId="0" fontId="15" fillId="0" borderId="6" xfId="0" applyFont="1" applyBorder="1" applyAlignment="1">
      <alignment horizontal="center" vertical="center"/>
    </xf>
    <xf numFmtId="4" fontId="15" fillId="0" borderId="6" xfId="1" applyNumberFormat="1" applyFont="1" applyBorder="1" applyAlignment="1">
      <alignment vertical="center"/>
    </xf>
    <xf numFmtId="165" fontId="15" fillId="0" borderId="6" xfId="1" applyNumberFormat="1" applyFont="1" applyBorder="1" applyAlignment="1">
      <alignment vertical="center"/>
    </xf>
    <xf numFmtId="165" fontId="15" fillId="0" borderId="5" xfId="1" applyNumberFormat="1" applyFont="1" applyBorder="1" applyAlignment="1">
      <alignment vertical="center"/>
    </xf>
    <xf numFmtId="0" fontId="16" fillId="0" borderId="5" xfId="0" applyFont="1" applyBorder="1" applyAlignment="1">
      <alignment vertical="center" wrapText="1"/>
    </xf>
    <xf numFmtId="4" fontId="16" fillId="0" borderId="6" xfId="1" applyNumberFormat="1" applyFont="1" applyBorder="1" applyAlignment="1">
      <alignment vertical="center"/>
    </xf>
    <xf numFmtId="165" fontId="16" fillId="0" borderId="6" xfId="1" applyNumberFormat="1" applyFont="1" applyBorder="1" applyAlignment="1">
      <alignment vertical="center"/>
    </xf>
    <xf numFmtId="4" fontId="16" fillId="0" borderId="7" xfId="0" applyNumberFormat="1" applyFont="1" applyBorder="1" applyAlignment="1">
      <alignment vertical="center"/>
    </xf>
    <xf numFmtId="0" fontId="23" fillId="0" borderId="6" xfId="0" applyFont="1" applyBorder="1" applyAlignment="1">
      <alignment horizontal="center" vertical="center"/>
    </xf>
    <xf numFmtId="4" fontId="23" fillId="0" borderId="6" xfId="1" applyNumberFormat="1" applyFont="1" applyBorder="1" applyAlignment="1">
      <alignment vertical="center"/>
    </xf>
    <xf numFmtId="165" fontId="23" fillId="0" borderId="6" xfId="1" applyNumberFormat="1" applyFont="1" applyBorder="1" applyAlignment="1">
      <alignment vertical="center"/>
    </xf>
    <xf numFmtId="4" fontId="23" fillId="0" borderId="6" xfId="0" applyNumberFormat="1" applyFont="1" applyBorder="1" applyAlignment="1">
      <alignment vertical="center"/>
    </xf>
    <xf numFmtId="0" fontId="31" fillId="0" borderId="5" xfId="0" applyFont="1" applyFill="1" applyBorder="1" applyAlignment="1">
      <alignment vertical="center" wrapText="1"/>
    </xf>
    <xf numFmtId="4" fontId="16" fillId="0" borderId="6" xfId="0" applyNumberFormat="1" applyFont="1" applyBorder="1" applyAlignment="1">
      <alignment vertical="center"/>
    </xf>
    <xf numFmtId="0" fontId="32" fillId="0" borderId="0" xfId="0" applyFont="1" applyAlignment="1">
      <alignment vertical="center"/>
    </xf>
    <xf numFmtId="0" fontId="16" fillId="3" borderId="5" xfId="0" applyFont="1" applyFill="1" applyBorder="1" applyAlignment="1">
      <alignment horizontal="center" vertical="center"/>
    </xf>
    <xf numFmtId="0" fontId="16" fillId="3" borderId="5" xfId="0" applyFont="1" applyFill="1" applyBorder="1" applyAlignment="1">
      <alignment vertical="center"/>
    </xf>
    <xf numFmtId="165" fontId="16" fillId="3" borderId="5" xfId="1" applyNumberFormat="1" applyFont="1" applyFill="1" applyBorder="1" applyAlignment="1">
      <alignment vertical="center"/>
    </xf>
    <xf numFmtId="9" fontId="23" fillId="4" borderId="5" xfId="2" applyFont="1" applyFill="1" applyBorder="1" applyAlignment="1">
      <alignment vertical="center"/>
    </xf>
    <xf numFmtId="0" fontId="23" fillId="0" borderId="8" xfId="0" applyFont="1" applyBorder="1" applyAlignment="1">
      <alignment horizontal="center" vertical="center"/>
    </xf>
    <xf numFmtId="0" fontId="23" fillId="0" borderId="8" xfId="0" applyFont="1" applyBorder="1" applyAlignment="1">
      <alignment vertical="center" wrapText="1"/>
    </xf>
    <xf numFmtId="165" fontId="23" fillId="0" borderId="8" xfId="1" applyNumberFormat="1" applyFont="1" applyBorder="1" applyAlignment="1">
      <alignment vertical="center"/>
    </xf>
    <xf numFmtId="9" fontId="23" fillId="4" borderId="8" xfId="2" applyFont="1" applyFill="1" applyBorder="1" applyAlignment="1">
      <alignment vertical="center"/>
    </xf>
    <xf numFmtId="4" fontId="23" fillId="0" borderId="8" xfId="0" applyNumberFormat="1" applyFont="1" applyBorder="1" applyAlignment="1">
      <alignment vertical="center"/>
    </xf>
    <xf numFmtId="0" fontId="33" fillId="0" borderId="0" xfId="4" applyFont="1" applyBorder="1" applyAlignment="1">
      <alignment horizontal="center" vertical="center"/>
    </xf>
    <xf numFmtId="0" fontId="34" fillId="0" borderId="0" xfId="4" applyFont="1" applyBorder="1" applyAlignment="1">
      <alignment vertical="center"/>
    </xf>
    <xf numFmtId="0" fontId="35" fillId="0" borderId="0" xfId="4" applyFont="1" applyBorder="1" applyAlignment="1">
      <alignment vertical="center"/>
    </xf>
    <xf numFmtId="0" fontId="36" fillId="0" borderId="0" xfId="4" applyFont="1" applyAlignment="1">
      <alignment horizontal="center" vertical="center"/>
    </xf>
    <xf numFmtId="0" fontId="37" fillId="0" borderId="0" xfId="4" applyFont="1" applyAlignment="1">
      <alignment vertical="center"/>
    </xf>
    <xf numFmtId="0" fontId="38" fillId="0" borderId="0" xfId="4" applyFont="1" applyAlignment="1">
      <alignment vertical="center"/>
    </xf>
  </cellXfs>
  <cellStyles count="5">
    <cellStyle name="Comma" xfId="1" builtinId="3"/>
    <cellStyle name="Normal" xfId="0" builtinId="0"/>
    <cellStyle name="Normal 3" xfId="4"/>
    <cellStyle name="Normal_6.15.BAOCAOPLP"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GKHAITC%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AN\N&#258;M%202022\DUTOAN\01.22.PHANKHAIDT202.GTV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ANH\2021\HDONG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03.QIII-2022"/>
      <sheetName val="BS03.QII-2022 "/>
      <sheetName val="BS03.QI-2022"/>
      <sheetName val="BS02.VPSO"/>
      <sheetName val="BS03.Q4-2021"/>
      <sheetName val="BS03.Q3-2021"/>
      <sheetName val="BS03.Q2-202"/>
    </sheetNames>
    <sheetDataSet>
      <sheetData sheetId="0"/>
      <sheetData sheetId="1">
        <row r="44">
          <cell r="E44">
            <v>2081.5619999999999</v>
          </cell>
        </row>
        <row r="45">
          <cell r="E45">
            <v>1225.5190000000002</v>
          </cell>
        </row>
        <row r="53">
          <cell r="E53">
            <v>4.3959999999999999</v>
          </cell>
        </row>
        <row r="58">
          <cell r="E58">
            <v>4.625</v>
          </cell>
        </row>
        <row r="59">
          <cell r="E59">
            <v>780.81</v>
          </cell>
        </row>
        <row r="60">
          <cell r="E60">
            <v>6.4119999999999999</v>
          </cell>
        </row>
        <row r="66">
          <cell r="E66">
            <v>2448.8000000000002</v>
          </cell>
        </row>
        <row r="74">
          <cell r="E74">
            <v>59.393000000000001</v>
          </cell>
        </row>
      </sheetData>
      <sheetData sheetId="2">
        <row r="44">
          <cell r="E44">
            <v>1041.856</v>
          </cell>
        </row>
        <row r="45">
          <cell r="E45">
            <v>983.27300000000002</v>
          </cell>
        </row>
        <row r="53">
          <cell r="E53">
            <v>5.117</v>
          </cell>
        </row>
        <row r="59">
          <cell r="E59">
            <v>53.466000000000001</v>
          </cell>
        </row>
        <row r="74">
          <cell r="E74">
            <v>45.421999999999997</v>
          </cell>
        </row>
      </sheetData>
      <sheetData sheetId="3">
        <row r="11">
          <cell r="D11">
            <v>4400000000</v>
          </cell>
        </row>
        <row r="12">
          <cell r="D12">
            <v>45000000</v>
          </cell>
        </row>
        <row r="16">
          <cell r="D16">
            <v>3240000000</v>
          </cell>
        </row>
        <row r="17">
          <cell r="D17">
            <v>900000000</v>
          </cell>
        </row>
        <row r="18">
          <cell r="D18">
            <v>40000000</v>
          </cell>
        </row>
        <row r="24">
          <cell r="D24">
            <v>4000000</v>
          </cell>
        </row>
        <row r="33">
          <cell r="D33">
            <v>204781820</v>
          </cell>
        </row>
        <row r="34">
          <cell r="D34">
            <v>3956218180</v>
          </cell>
        </row>
        <row r="35">
          <cell r="D35">
            <v>0</v>
          </cell>
        </row>
        <row r="36">
          <cell r="D36">
            <v>15000000</v>
          </cell>
        </row>
        <row r="47">
          <cell r="D47">
            <v>16000000</v>
          </cell>
        </row>
        <row r="48">
          <cell r="D48">
            <v>50000000</v>
          </cell>
        </row>
        <row r="49">
          <cell r="D49">
            <v>90000000</v>
          </cell>
        </row>
        <row r="50">
          <cell r="D50">
            <v>54000000</v>
          </cell>
        </row>
        <row r="51">
          <cell r="D51">
            <v>10000000</v>
          </cell>
        </row>
        <row r="52">
          <cell r="D52">
            <v>5000000</v>
          </cell>
        </row>
        <row r="53">
          <cell r="D53">
            <v>78000000</v>
          </cell>
        </row>
        <row r="54">
          <cell r="D54">
            <v>2357000000</v>
          </cell>
        </row>
        <row r="60">
          <cell r="D60">
            <v>72000000</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DUKIEN.BTDB KP TƯ"/>
      <sheetName val="KPTHEONV"/>
      <sheetName val="DUKIEN.PHI"/>
      <sheetName val="DUKIEN.LEPHI"/>
      <sheetName val="BCKC.Q2"/>
      <sheetName val="BCKC.Q1"/>
      <sheetName val="DUKIEN.NSNN"/>
      <sheetName val="Sheet1"/>
    </sheetNames>
    <sheetDataSet>
      <sheetData sheetId="0"/>
      <sheetData sheetId="1"/>
      <sheetData sheetId="2"/>
      <sheetData sheetId="3"/>
      <sheetData sheetId="4"/>
      <sheetData sheetId="5"/>
      <sheetData sheetId="6"/>
      <sheetData sheetId="7">
        <row r="12">
          <cell r="E12">
            <v>4154209664</v>
          </cell>
        </row>
        <row r="37">
          <cell r="E37">
            <v>743790336</v>
          </cell>
        </row>
        <row r="78">
          <cell r="E78">
            <v>70000000</v>
          </cell>
        </row>
        <row r="98">
          <cell r="E98">
            <v>50000000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 val="A1.CN"/>
      <sheetName val="DLdauv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topLeftCell="A7" workbookViewId="0">
      <pane ySplit="5" topLeftCell="A75" activePane="bottomLeft" state="frozen"/>
      <selection activeCell="A7" sqref="A7"/>
      <selection pane="bottomLeft" activeCell="K77" sqref="K77"/>
    </sheetView>
  </sheetViews>
  <sheetFormatPr defaultRowHeight="12.75" x14ac:dyDescent="0.25"/>
  <cols>
    <col min="1" max="1" width="3.42578125" style="1" customWidth="1"/>
    <col min="2" max="2" width="6.7109375" style="1" customWidth="1"/>
    <col min="3" max="3" width="41.140625" style="1" customWidth="1"/>
    <col min="4" max="4" width="15.28515625" style="7" customWidth="1"/>
    <col min="5" max="5" width="13" style="8" customWidth="1"/>
    <col min="6" max="6" width="13.140625" style="1" customWidth="1"/>
    <col min="7" max="7" width="11.7109375" style="1" hidden="1" customWidth="1"/>
    <col min="8" max="8" width="13" style="1" customWidth="1"/>
    <col min="9" max="9" width="9.140625" style="1"/>
    <col min="10" max="10" width="9.5703125" style="1" bestFit="1" customWidth="1"/>
    <col min="11" max="11" width="14.5703125" style="1" customWidth="1"/>
    <col min="12" max="12" width="14.28515625" style="1" customWidth="1"/>
    <col min="13" max="16384" width="9.140625" style="1"/>
  </cols>
  <sheetData>
    <row r="1" spans="1:8" ht="15" x14ac:dyDescent="0.25">
      <c r="B1" s="2" t="s">
        <v>0</v>
      </c>
      <c r="C1" s="2"/>
      <c r="D1" s="2"/>
      <c r="E1" s="2"/>
      <c r="F1" s="2"/>
      <c r="G1" s="2"/>
      <c r="H1" s="2"/>
    </row>
    <row r="2" spans="1:8" ht="4.5" customHeight="1" x14ac:dyDescent="0.25">
      <c r="B2" s="3"/>
      <c r="C2" s="3"/>
      <c r="D2" s="4"/>
      <c r="E2" s="5"/>
      <c r="F2" s="3"/>
      <c r="G2" s="3"/>
      <c r="H2" s="3"/>
    </row>
    <row r="3" spans="1:8" ht="14.25" x14ac:dyDescent="0.25">
      <c r="B3" s="6" t="s">
        <v>1</v>
      </c>
    </row>
    <row r="4" spans="1:8" ht="14.25" x14ac:dyDescent="0.25">
      <c r="B4" s="6" t="s">
        <v>2</v>
      </c>
    </row>
    <row r="5" spans="1:8" ht="48" customHeight="1" x14ac:dyDescent="0.25">
      <c r="A5" s="9" t="s">
        <v>3</v>
      </c>
      <c r="B5" s="9"/>
      <c r="C5" s="9"/>
      <c r="D5" s="9"/>
      <c r="E5" s="9"/>
      <c r="F5" s="9"/>
      <c r="G5" s="9"/>
      <c r="H5" s="9"/>
    </row>
    <row r="6" spans="1:8" ht="35.25" customHeight="1" x14ac:dyDescent="0.25">
      <c r="B6" s="10" t="s">
        <v>4</v>
      </c>
      <c r="C6" s="10"/>
      <c r="D6" s="10"/>
      <c r="E6" s="10"/>
      <c r="F6" s="10"/>
      <c r="G6" s="10"/>
      <c r="H6" s="10"/>
    </row>
    <row r="7" spans="1:8" ht="68.25" customHeight="1" x14ac:dyDescent="0.25">
      <c r="B7" s="11" t="s">
        <v>5</v>
      </c>
      <c r="C7" s="11"/>
      <c r="D7" s="11"/>
      <c r="E7" s="11"/>
      <c r="F7" s="11"/>
      <c r="G7" s="11"/>
      <c r="H7" s="11"/>
    </row>
    <row r="8" spans="1:8" ht="34.5" customHeight="1" x14ac:dyDescent="0.25">
      <c r="B8" s="10" t="s">
        <v>6</v>
      </c>
      <c r="C8" s="10"/>
      <c r="D8" s="10"/>
      <c r="E8" s="10"/>
      <c r="F8" s="10"/>
      <c r="G8" s="10"/>
      <c r="H8" s="10"/>
    </row>
    <row r="9" spans="1:8" ht="15.75" x14ac:dyDescent="0.25">
      <c r="B9" s="12"/>
      <c r="C9" s="13"/>
      <c r="D9" s="14"/>
      <c r="E9" s="15"/>
      <c r="F9" s="13"/>
      <c r="G9" s="16"/>
      <c r="H9" s="17" t="s">
        <v>7</v>
      </c>
    </row>
    <row r="10" spans="1:8" ht="63" customHeight="1" x14ac:dyDescent="0.25">
      <c r="B10" s="18" t="s">
        <v>8</v>
      </c>
      <c r="C10" s="18" t="s">
        <v>9</v>
      </c>
      <c r="D10" s="19" t="s">
        <v>10</v>
      </c>
      <c r="E10" s="20" t="s">
        <v>11</v>
      </c>
      <c r="F10" s="18" t="s">
        <v>12</v>
      </c>
      <c r="G10" s="18" t="s">
        <v>13</v>
      </c>
      <c r="H10" s="18" t="s">
        <v>14</v>
      </c>
    </row>
    <row r="11" spans="1:8" x14ac:dyDescent="0.25">
      <c r="B11" s="18">
        <v>1</v>
      </c>
      <c r="C11" s="18">
        <v>2</v>
      </c>
      <c r="D11" s="21">
        <v>3</v>
      </c>
      <c r="E11" s="22">
        <v>4</v>
      </c>
      <c r="F11" s="23">
        <v>5</v>
      </c>
      <c r="G11" s="24"/>
      <c r="H11" s="21">
        <v>6</v>
      </c>
    </row>
    <row r="12" spans="1:8" ht="15.75" customHeight="1" x14ac:dyDescent="0.25">
      <c r="B12" s="25" t="s">
        <v>15</v>
      </c>
      <c r="C12" s="26" t="s">
        <v>16</v>
      </c>
      <c r="D12" s="27">
        <f>SUM(D13)</f>
        <v>8625</v>
      </c>
      <c r="E12" s="27">
        <f>SUM(E13)</f>
        <v>3058.62</v>
      </c>
      <c r="F12" s="28">
        <f>E12/D12</f>
        <v>0.35462260869565215</v>
      </c>
      <c r="G12" s="29">
        <f>SUM(G13)</f>
        <v>202.32999999999998</v>
      </c>
      <c r="H12" s="30">
        <f t="shared" ref="H12:H68" si="0">E12/G12</f>
        <v>15.116987100281719</v>
      </c>
    </row>
    <row r="13" spans="1:8" x14ac:dyDescent="0.25">
      <c r="B13" s="31" t="s">
        <v>17</v>
      </c>
      <c r="C13" s="32" t="s">
        <v>18</v>
      </c>
      <c r="D13" s="33">
        <f>SUM(D14,D19)</f>
        <v>8625</v>
      </c>
      <c r="E13" s="33">
        <f>SUM(E14,E19)</f>
        <v>3058.62</v>
      </c>
      <c r="F13" s="34">
        <f t="shared" ref="F13:F73" si="1">E13/D13</f>
        <v>0.35462260869565215</v>
      </c>
      <c r="G13" s="35">
        <f>SUM(G14,G19)</f>
        <v>202.32999999999998</v>
      </c>
      <c r="H13" s="36">
        <f>E13/G13</f>
        <v>15.116987100281719</v>
      </c>
    </row>
    <row r="14" spans="1:8" x14ac:dyDescent="0.25">
      <c r="B14" s="31">
        <v>1</v>
      </c>
      <c r="C14" s="32" t="s">
        <v>19</v>
      </c>
      <c r="D14" s="33">
        <f>SUM(D15:D18)</f>
        <v>4445</v>
      </c>
      <c r="E14" s="33">
        <f>SUM(E15:E18)</f>
        <v>1399.29</v>
      </c>
      <c r="F14" s="34">
        <f t="shared" si="1"/>
        <v>0.31480089988751403</v>
      </c>
      <c r="G14" s="35">
        <f>SUM(G15:G18)</f>
        <v>193.6</v>
      </c>
      <c r="H14" s="36">
        <f t="shared" si="0"/>
        <v>7.2277376033057852</v>
      </c>
    </row>
    <row r="15" spans="1:8" x14ac:dyDescent="0.25">
      <c r="B15" s="37" t="s">
        <v>20</v>
      </c>
      <c r="C15" s="38" t="s">
        <v>21</v>
      </c>
      <c r="D15" s="39">
        <f>'[1]BS02.VPSO'!D11/1000000</f>
        <v>4400</v>
      </c>
      <c r="E15" s="39">
        <v>1392.66</v>
      </c>
      <c r="F15" s="40">
        <f t="shared" si="1"/>
        <v>0.31651363636363639</v>
      </c>
      <c r="G15" s="39">
        <v>190.75</v>
      </c>
      <c r="H15" s="41">
        <f>E15/G15</f>
        <v>7.3009698558322418</v>
      </c>
    </row>
    <row r="16" spans="1:8" x14ac:dyDescent="0.25">
      <c r="B16" s="37" t="s">
        <v>22</v>
      </c>
      <c r="C16" s="38" t="s">
        <v>23</v>
      </c>
      <c r="D16" s="39">
        <f>'[1]BS02.VPSO'!D12/1000000</f>
        <v>45</v>
      </c>
      <c r="E16" s="39">
        <v>6.1</v>
      </c>
      <c r="F16" s="40">
        <f>E16/D16</f>
        <v>0.13555555555555554</v>
      </c>
      <c r="G16" s="39">
        <v>2.15</v>
      </c>
      <c r="H16" s="41">
        <f>E16/G16</f>
        <v>2.8372093023255816</v>
      </c>
    </row>
    <row r="17" spans="2:8" x14ac:dyDescent="0.25">
      <c r="B17" s="37" t="s">
        <v>24</v>
      </c>
      <c r="C17" s="42" t="s">
        <v>25</v>
      </c>
      <c r="D17" s="39"/>
      <c r="E17" s="39">
        <v>0.25</v>
      </c>
      <c r="F17" s="40"/>
      <c r="G17" s="39"/>
      <c r="H17" s="41"/>
    </row>
    <row r="18" spans="2:8" x14ac:dyDescent="0.25">
      <c r="B18" s="37" t="s">
        <v>26</v>
      </c>
      <c r="C18" s="42" t="s">
        <v>27</v>
      </c>
      <c r="D18" s="39"/>
      <c r="E18" s="39">
        <v>0.28000000000000003</v>
      </c>
      <c r="F18" s="40"/>
      <c r="G18" s="39">
        <v>0.7</v>
      </c>
      <c r="H18" s="41">
        <f t="shared" ref="H18" si="2">E18/G18</f>
        <v>0.40000000000000008</v>
      </c>
    </row>
    <row r="19" spans="2:8" x14ac:dyDescent="0.25">
      <c r="B19" s="43">
        <v>2</v>
      </c>
      <c r="C19" s="44" t="s">
        <v>28</v>
      </c>
      <c r="D19" s="33">
        <f>SUM(D20:D22)</f>
        <v>4180</v>
      </c>
      <c r="E19" s="33">
        <f>SUM(E20:E22)</f>
        <v>1659.33</v>
      </c>
      <c r="F19" s="34">
        <f t="shared" si="1"/>
        <v>0.39696889952153108</v>
      </c>
      <c r="G19" s="35">
        <f>SUM(G20:G22)</f>
        <v>8.73</v>
      </c>
      <c r="H19" s="36">
        <f t="shared" si="0"/>
        <v>190.0721649484536</v>
      </c>
    </row>
    <row r="20" spans="2:8" x14ac:dyDescent="0.25">
      <c r="B20" s="45" t="s">
        <v>29</v>
      </c>
      <c r="C20" s="46" t="s">
        <v>30</v>
      </c>
      <c r="D20" s="39">
        <f>'[1]BS02.VPSO'!D16/1000000</f>
        <v>3240</v>
      </c>
      <c r="E20" s="39">
        <v>1194.6300000000001</v>
      </c>
      <c r="F20" s="40">
        <f t="shared" si="1"/>
        <v>0.36871296296296302</v>
      </c>
      <c r="G20" s="39">
        <v>3.99</v>
      </c>
      <c r="H20" s="41">
        <f>E20/G20</f>
        <v>299.40601503759399</v>
      </c>
    </row>
    <row r="21" spans="2:8" x14ac:dyDescent="0.25">
      <c r="B21" s="45" t="s">
        <v>31</v>
      </c>
      <c r="C21" s="46" t="s">
        <v>32</v>
      </c>
      <c r="D21" s="39">
        <f>'[1]BS02.VPSO'!D17/1000000</f>
        <v>900</v>
      </c>
      <c r="E21" s="39">
        <f>243.04+220.54</f>
        <v>463.58</v>
      </c>
      <c r="F21" s="40">
        <f>E21/D21</f>
        <v>0.51508888888888882</v>
      </c>
      <c r="G21" s="39"/>
      <c r="H21" s="41"/>
    </row>
    <row r="22" spans="2:8" x14ac:dyDescent="0.25">
      <c r="B22" s="45" t="s">
        <v>33</v>
      </c>
      <c r="C22" s="46" t="s">
        <v>34</v>
      </c>
      <c r="D22" s="39">
        <f>'[1]BS02.VPSO'!D18/1000000</f>
        <v>40</v>
      </c>
      <c r="E22" s="39">
        <v>1.1200000000000001</v>
      </c>
      <c r="F22" s="40">
        <f t="shared" si="1"/>
        <v>2.8000000000000004E-2</v>
      </c>
      <c r="G22" s="39">
        <v>4.74</v>
      </c>
      <c r="H22" s="41">
        <f>E22/G22</f>
        <v>0.23628691983122363</v>
      </c>
    </row>
    <row r="23" spans="2:8" x14ac:dyDescent="0.25">
      <c r="B23" s="31" t="s">
        <v>35</v>
      </c>
      <c r="C23" s="32" t="s">
        <v>36</v>
      </c>
      <c r="D23" s="33">
        <f>SUM(D24,D31)</f>
        <v>4176</v>
      </c>
      <c r="E23" s="33">
        <f>SUM(E24,E31)</f>
        <v>925.5</v>
      </c>
      <c r="F23" s="34">
        <f t="shared" si="1"/>
        <v>0.2216235632183908</v>
      </c>
      <c r="G23" s="35">
        <f>SUM(G24,G31)</f>
        <v>50.06</v>
      </c>
      <c r="H23" s="36">
        <f t="shared" si="0"/>
        <v>18.487814622453055</v>
      </c>
    </row>
    <row r="24" spans="2:8" x14ac:dyDescent="0.25">
      <c r="B24" s="31">
        <v>1</v>
      </c>
      <c r="C24" s="32" t="s">
        <v>37</v>
      </c>
      <c r="D24" s="33">
        <f>D25+D26</f>
        <v>4176</v>
      </c>
      <c r="E24" s="33">
        <f>E25+E26</f>
        <v>925.5</v>
      </c>
      <c r="F24" s="34">
        <f t="shared" si="1"/>
        <v>0.2216235632183908</v>
      </c>
      <c r="G24" s="35">
        <f>SUM(G25+G26)</f>
        <v>50.06</v>
      </c>
      <c r="H24" s="36">
        <f t="shared" si="0"/>
        <v>18.487814622453055</v>
      </c>
    </row>
    <row r="25" spans="2:8" x14ac:dyDescent="0.25">
      <c r="B25" s="31" t="s">
        <v>20</v>
      </c>
      <c r="C25" s="32" t="s">
        <v>38</v>
      </c>
      <c r="D25" s="33"/>
      <c r="E25" s="39"/>
      <c r="F25" s="47"/>
      <c r="G25" s="35"/>
      <c r="H25" s="36"/>
    </row>
    <row r="26" spans="2:8" x14ac:dyDescent="0.25">
      <c r="B26" s="31" t="s">
        <v>22</v>
      </c>
      <c r="C26" s="32" t="s">
        <v>39</v>
      </c>
      <c r="D26" s="33">
        <f>SUM(D27:D30)</f>
        <v>4176</v>
      </c>
      <c r="E26" s="33">
        <f>SUM(E27:E30)</f>
        <v>925.5</v>
      </c>
      <c r="F26" s="34">
        <f t="shared" si="1"/>
        <v>0.2216235632183908</v>
      </c>
      <c r="G26" s="35">
        <f>SUM(G27:G30)</f>
        <v>50.06</v>
      </c>
      <c r="H26" s="36">
        <f t="shared" si="0"/>
        <v>18.487814622453055</v>
      </c>
    </row>
    <row r="27" spans="2:8" s="53" customFormat="1" x14ac:dyDescent="0.25">
      <c r="B27" s="48" t="s">
        <v>40</v>
      </c>
      <c r="C27" s="49" t="s">
        <v>41</v>
      </c>
      <c r="D27" s="50">
        <f>'[1]BS02.VPSO'!D33/1000000</f>
        <v>204.78182000000001</v>
      </c>
      <c r="E27" s="50">
        <v>83.82</v>
      </c>
      <c r="F27" s="51">
        <f t="shared" si="1"/>
        <v>0.4093136783333598</v>
      </c>
      <c r="G27" s="50">
        <v>26.19</v>
      </c>
      <c r="H27" s="52">
        <f>E27/G27</f>
        <v>3.2004581901489115</v>
      </c>
    </row>
    <row r="28" spans="2:8" s="53" customFormat="1" x14ac:dyDescent="0.25">
      <c r="B28" s="48" t="s">
        <v>42</v>
      </c>
      <c r="C28" s="49" t="s">
        <v>43</v>
      </c>
      <c r="D28" s="50">
        <f>'[1]BS02.VPSO'!D34/1000000</f>
        <v>3956.2181799999998</v>
      </c>
      <c r="E28" s="50">
        <v>841.68</v>
      </c>
      <c r="F28" s="51">
        <f t="shared" si="1"/>
        <v>0.21274863056212942</v>
      </c>
      <c r="G28" s="50">
        <v>23.87</v>
      </c>
      <c r="H28" s="52">
        <f>E28/G28</f>
        <v>35.260997067448677</v>
      </c>
    </row>
    <row r="29" spans="2:8" s="53" customFormat="1" x14ac:dyDescent="0.25">
      <c r="B29" s="48" t="s">
        <v>44</v>
      </c>
      <c r="C29" s="49" t="s">
        <v>45</v>
      </c>
      <c r="D29" s="50">
        <f>'[1]BS02.VPSO'!D35/1000000</f>
        <v>0</v>
      </c>
      <c r="E29" s="50"/>
      <c r="F29" s="51"/>
      <c r="G29" s="54"/>
      <c r="H29" s="52"/>
    </row>
    <row r="30" spans="2:8" s="53" customFormat="1" ht="14.25" customHeight="1" x14ac:dyDescent="0.25">
      <c r="B30" s="48" t="s">
        <v>46</v>
      </c>
      <c r="C30" s="49" t="s">
        <v>47</v>
      </c>
      <c r="D30" s="50">
        <f>'[1]BS02.VPSO'!D36/1000000</f>
        <v>15</v>
      </c>
      <c r="E30" s="55"/>
      <c r="F30" s="51"/>
      <c r="G30" s="54"/>
      <c r="H30" s="52"/>
    </row>
    <row r="31" spans="2:8" x14ac:dyDescent="0.25">
      <c r="B31" s="31">
        <v>2</v>
      </c>
      <c r="C31" s="32" t="s">
        <v>48</v>
      </c>
      <c r="D31" s="33"/>
      <c r="E31" s="56"/>
      <c r="F31" s="57"/>
      <c r="G31" s="58"/>
      <c r="H31" s="59"/>
    </row>
    <row r="32" spans="2:8" x14ac:dyDescent="0.25">
      <c r="B32" s="31" t="s">
        <v>49</v>
      </c>
      <c r="C32" s="32" t="s">
        <v>50</v>
      </c>
      <c r="D32" s="33">
        <f>SUM(D33,D38)</f>
        <v>4449</v>
      </c>
      <c r="E32" s="33">
        <f>SUM(E33,E38)</f>
        <v>1443.51</v>
      </c>
      <c r="F32" s="34">
        <f>E32/D32</f>
        <v>0.3244571813890762</v>
      </c>
      <c r="G32" s="35">
        <f>SUM(G33,G38)</f>
        <v>194.07</v>
      </c>
      <c r="H32" s="36">
        <f t="shared" si="0"/>
        <v>7.4380893492038958</v>
      </c>
    </row>
    <row r="33" spans="2:11" x14ac:dyDescent="0.25">
      <c r="B33" s="31">
        <v>1</v>
      </c>
      <c r="C33" s="32" t="s">
        <v>19</v>
      </c>
      <c r="D33" s="33">
        <f>SUM(D34:D37)</f>
        <v>4445</v>
      </c>
      <c r="E33" s="33">
        <f>SUM(E34:E37)</f>
        <v>1399.29</v>
      </c>
      <c r="F33" s="34">
        <f t="shared" si="1"/>
        <v>0.31480089988751403</v>
      </c>
      <c r="G33" s="33">
        <f>SUM(G34:G37)</f>
        <v>193.6</v>
      </c>
      <c r="H33" s="36">
        <f t="shared" si="0"/>
        <v>7.2277376033057852</v>
      </c>
    </row>
    <row r="34" spans="2:11" x14ac:dyDescent="0.25">
      <c r="B34" s="37" t="s">
        <v>20</v>
      </c>
      <c r="C34" s="38" t="s">
        <v>51</v>
      </c>
      <c r="D34" s="39">
        <f>D15</f>
        <v>4400</v>
      </c>
      <c r="E34" s="39">
        <f>E15</f>
        <v>1392.66</v>
      </c>
      <c r="F34" s="40">
        <f t="shared" si="1"/>
        <v>0.31651363636363639</v>
      </c>
      <c r="G34" s="60">
        <v>190.75</v>
      </c>
      <c r="H34" s="41">
        <f>E34/G34</f>
        <v>7.3009698558322418</v>
      </c>
    </row>
    <row r="35" spans="2:11" x14ac:dyDescent="0.25">
      <c r="B35" s="37" t="s">
        <v>22</v>
      </c>
      <c r="C35" s="38" t="s">
        <v>52</v>
      </c>
      <c r="D35" s="39">
        <f t="shared" ref="D35:D37" si="3">D16</f>
        <v>45</v>
      </c>
      <c r="E35" s="39">
        <f>E16</f>
        <v>6.1</v>
      </c>
      <c r="F35" s="40">
        <f t="shared" si="1"/>
        <v>0.13555555555555554</v>
      </c>
      <c r="G35" s="60">
        <v>2.15</v>
      </c>
      <c r="H35" s="41">
        <f t="shared" ref="H35:H37" si="4">E35/G35</f>
        <v>2.8372093023255816</v>
      </c>
    </row>
    <row r="36" spans="2:11" x14ac:dyDescent="0.25">
      <c r="B36" s="37" t="s">
        <v>24</v>
      </c>
      <c r="C36" s="42" t="s">
        <v>53</v>
      </c>
      <c r="D36" s="39">
        <f t="shared" si="3"/>
        <v>0</v>
      </c>
      <c r="E36" s="39">
        <f>E17</f>
        <v>0.25</v>
      </c>
      <c r="F36" s="40"/>
      <c r="G36" s="60"/>
      <c r="H36" s="41"/>
    </row>
    <row r="37" spans="2:11" x14ac:dyDescent="0.25">
      <c r="B37" s="37" t="s">
        <v>26</v>
      </c>
      <c r="C37" s="42" t="s">
        <v>54</v>
      </c>
      <c r="D37" s="39">
        <f t="shared" si="3"/>
        <v>0</v>
      </c>
      <c r="E37" s="39">
        <f>E18</f>
        <v>0.28000000000000003</v>
      </c>
      <c r="F37" s="40"/>
      <c r="G37" s="60">
        <f>G18</f>
        <v>0.7</v>
      </c>
      <c r="H37" s="41">
        <f t="shared" si="4"/>
        <v>0.40000000000000008</v>
      </c>
    </row>
    <row r="38" spans="2:11" x14ac:dyDescent="0.25">
      <c r="B38" s="31">
        <v>2</v>
      </c>
      <c r="C38" s="32" t="s">
        <v>28</v>
      </c>
      <c r="D38" s="33">
        <f>SUM(D39:D41)</f>
        <v>4</v>
      </c>
      <c r="E38" s="33">
        <f>SUM(E39:E41)</f>
        <v>44.22</v>
      </c>
      <c r="F38" s="34">
        <f>E38/D38</f>
        <v>11.055</v>
      </c>
      <c r="G38" s="35">
        <f>SUM(G39:G41)</f>
        <v>0.47</v>
      </c>
      <c r="H38" s="36">
        <f>E38/G38</f>
        <v>94.085106382978722</v>
      </c>
    </row>
    <row r="39" spans="2:11" x14ac:dyDescent="0.25">
      <c r="B39" s="45" t="s">
        <v>29</v>
      </c>
      <c r="C39" s="46" t="s">
        <v>30</v>
      </c>
      <c r="D39" s="39"/>
      <c r="E39" s="39"/>
      <c r="F39" s="47"/>
      <c r="G39" s="60"/>
      <c r="H39" s="36"/>
    </row>
    <row r="40" spans="2:11" x14ac:dyDescent="0.25">
      <c r="B40" s="45" t="s">
        <v>31</v>
      </c>
      <c r="C40" s="46" t="s">
        <v>32</v>
      </c>
      <c r="D40" s="39"/>
      <c r="E40" s="39">
        <v>44.11</v>
      </c>
      <c r="F40" s="40"/>
      <c r="G40" s="60"/>
      <c r="H40" s="41"/>
    </row>
    <row r="41" spans="2:11" x14ac:dyDescent="0.25">
      <c r="B41" s="45" t="s">
        <v>33</v>
      </c>
      <c r="C41" s="46" t="s">
        <v>34</v>
      </c>
      <c r="D41" s="39">
        <f>'[1]BS02.VPSO'!D24/1000000</f>
        <v>4</v>
      </c>
      <c r="E41" s="39">
        <v>0.11</v>
      </c>
      <c r="F41" s="40">
        <f>E41/D41</f>
        <v>2.75E-2</v>
      </c>
      <c r="G41" s="60">
        <v>0.47</v>
      </c>
      <c r="H41" s="41">
        <f>E41/G41</f>
        <v>0.23404255319148937</v>
      </c>
    </row>
    <row r="42" spans="2:11" x14ac:dyDescent="0.25">
      <c r="B42" s="61" t="s">
        <v>55</v>
      </c>
      <c r="C42" s="62" t="s">
        <v>56</v>
      </c>
      <c r="D42" s="63">
        <f>D43</f>
        <v>120201.298</v>
      </c>
      <c r="E42" s="63">
        <f>E43</f>
        <v>9970.02</v>
      </c>
      <c r="F42" s="28">
        <f t="shared" si="1"/>
        <v>8.2944362214790734E-2</v>
      </c>
      <c r="G42" s="64">
        <f>SUM(G44,G62)</f>
        <v>11402.28</v>
      </c>
      <c r="H42" s="65">
        <f t="shared" si="0"/>
        <v>0.87438828023868909</v>
      </c>
    </row>
    <row r="43" spans="2:11" x14ac:dyDescent="0.25">
      <c r="B43" s="66" t="s">
        <v>17</v>
      </c>
      <c r="C43" s="67" t="s">
        <v>57</v>
      </c>
      <c r="D43" s="68">
        <f>D44+D62+D70+D68</f>
        <v>120201.298</v>
      </c>
      <c r="E43" s="68">
        <f>E44+E62+E70+E68</f>
        <v>9970.02</v>
      </c>
      <c r="F43" s="34">
        <f t="shared" si="1"/>
        <v>8.2944362214790734E-2</v>
      </c>
      <c r="G43" s="69">
        <f>G44+G62+G70</f>
        <v>11402.28</v>
      </c>
      <c r="H43" s="70">
        <f t="shared" si="0"/>
        <v>0.87438828023868909</v>
      </c>
    </row>
    <row r="44" spans="2:11" x14ac:dyDescent="0.25">
      <c r="B44" s="43">
        <v>1</v>
      </c>
      <c r="C44" s="44" t="s">
        <v>48</v>
      </c>
      <c r="D44" s="71">
        <f>(D45+D51)+D50</f>
        <v>8036.277</v>
      </c>
      <c r="E44" s="71">
        <f>SUM(E45+E51)+E50</f>
        <v>1869.7140000000004</v>
      </c>
      <c r="F44" s="34">
        <f>E44/D44</f>
        <v>0.2326592276498185</v>
      </c>
      <c r="G44" s="71">
        <f>SUM(G45+G51)+G50</f>
        <v>1094.7</v>
      </c>
      <c r="H44" s="36">
        <f t="shared" si="0"/>
        <v>1.7079693066593591</v>
      </c>
    </row>
    <row r="45" spans="2:11" ht="14.25" customHeight="1" x14ac:dyDescent="0.25">
      <c r="B45" s="72" t="s">
        <v>20</v>
      </c>
      <c r="C45" s="73" t="s">
        <v>58</v>
      </c>
      <c r="D45" s="74">
        <f>SUM(D46,D47,D48,D49)</f>
        <v>4949.777</v>
      </c>
      <c r="E45" s="74">
        <f>SUM(E46,E47,E48,E49)</f>
        <v>1016.87</v>
      </c>
      <c r="F45" s="75">
        <f>E45/D45</f>
        <v>0.20543753789312125</v>
      </c>
      <c r="G45" s="76">
        <f>SUM(G46:G50)</f>
        <v>875.28300000000013</v>
      </c>
      <c r="H45" s="75">
        <f>E45/G45</f>
        <v>1.1617613960284843</v>
      </c>
    </row>
    <row r="46" spans="2:11" x14ac:dyDescent="0.25">
      <c r="B46" s="45" t="s">
        <v>59</v>
      </c>
      <c r="C46" s="77" t="s">
        <v>60</v>
      </c>
      <c r="D46" s="78">
        <f>[2]DUKIEN.NSNN!$E$12/1000000</f>
        <v>4154.209664</v>
      </c>
      <c r="E46" s="39">
        <v>958.43</v>
      </c>
      <c r="F46" s="40">
        <f t="shared" si="1"/>
        <v>0.23071295806412143</v>
      </c>
      <c r="G46" s="39">
        <v>798.46</v>
      </c>
      <c r="H46" s="41">
        <f t="shared" ref="H46:H48" si="5">E46/G46</f>
        <v>1.2003481702276881</v>
      </c>
    </row>
    <row r="47" spans="2:11" x14ac:dyDescent="0.25">
      <c r="B47" s="45" t="s">
        <v>61</v>
      </c>
      <c r="C47" s="77" t="s">
        <v>43</v>
      </c>
      <c r="D47" s="78">
        <f>[2]DUKIEN.NSNN!$E$37/1000000-D48</f>
        <v>673.79033600000002</v>
      </c>
      <c r="E47" s="50">
        <v>47.29</v>
      </c>
      <c r="F47" s="40">
        <f t="shared" si="1"/>
        <v>7.0185037501042463E-2</v>
      </c>
      <c r="G47" s="50">
        <v>41.69</v>
      </c>
      <c r="H47" s="41">
        <f t="shared" si="5"/>
        <v>1.1343247781242505</v>
      </c>
      <c r="K47" s="79">
        <f>E45+'[1]BS03.QII-2022 '!E45+'[1]BS03.QI-2022'!E45</f>
        <v>3225.6620000000003</v>
      </c>
    </row>
    <row r="48" spans="2:11" x14ac:dyDescent="0.25">
      <c r="B48" s="45" t="s">
        <v>62</v>
      </c>
      <c r="C48" s="77" t="s">
        <v>63</v>
      </c>
      <c r="D48" s="78">
        <f>[2]DUKIEN.NSNN!$E$78/1000000</f>
        <v>70</v>
      </c>
      <c r="E48" s="39">
        <v>8.11</v>
      </c>
      <c r="F48" s="40">
        <f t="shared" si="1"/>
        <v>0.11585714285714285</v>
      </c>
      <c r="G48" s="39">
        <v>0.48</v>
      </c>
      <c r="H48" s="41">
        <f t="shared" si="5"/>
        <v>16.895833333333332</v>
      </c>
    </row>
    <row r="49" spans="2:11" x14ac:dyDescent="0.25">
      <c r="B49" s="45" t="s">
        <v>64</v>
      </c>
      <c r="C49" s="77" t="s">
        <v>47</v>
      </c>
      <c r="D49" s="78">
        <f>[2]DUKIEN.NSNN!$E$98/1000000+1.777</f>
        <v>51.777000000000001</v>
      </c>
      <c r="E49" s="39">
        <f>1016.87-E46-E47-E48</f>
        <v>3.040000000000056</v>
      </c>
      <c r="F49" s="40">
        <f t="shared" si="1"/>
        <v>5.8713328311799755E-2</v>
      </c>
      <c r="G49" s="39">
        <v>34.652999999999999</v>
      </c>
      <c r="H49" s="41">
        <f>E49/G49</f>
        <v>8.7726892332555803E-2</v>
      </c>
      <c r="K49" s="80">
        <f>E44+'[1]BS03.QII-2022 '!E44+'[1]BS03.QI-2022'!E44</f>
        <v>4993.1320000000005</v>
      </c>
    </row>
    <row r="50" spans="2:11" x14ac:dyDescent="0.25">
      <c r="B50" s="45" t="s">
        <v>65</v>
      </c>
      <c r="C50" s="77" t="s">
        <v>66</v>
      </c>
      <c r="D50" s="78">
        <v>212.7</v>
      </c>
      <c r="E50" s="81">
        <v>-187.14</v>
      </c>
      <c r="F50" s="40"/>
      <c r="G50" s="60"/>
      <c r="H50" s="41"/>
    </row>
    <row r="51" spans="2:11" x14ac:dyDescent="0.25">
      <c r="B51" s="43" t="s">
        <v>22</v>
      </c>
      <c r="C51" s="82" t="s">
        <v>39</v>
      </c>
      <c r="D51" s="83">
        <f>SUM(D52:D61)</f>
        <v>2873.8</v>
      </c>
      <c r="E51" s="74">
        <f>SUM(E52:E61)</f>
        <v>1039.9840000000002</v>
      </c>
      <c r="F51" s="84">
        <f>E51/D51</f>
        <v>0.36188461270791289</v>
      </c>
      <c r="G51" s="76">
        <f>SUM(G52:G61)</f>
        <v>219.417</v>
      </c>
      <c r="H51" s="75">
        <f>E51/G51</f>
        <v>4.7397603649671636</v>
      </c>
      <c r="J51" s="80"/>
      <c r="K51" s="79">
        <v>3225.67</v>
      </c>
    </row>
    <row r="52" spans="2:11" x14ac:dyDescent="0.25">
      <c r="B52" s="45" t="s">
        <v>67</v>
      </c>
      <c r="C52" s="77" t="s">
        <v>68</v>
      </c>
      <c r="D52" s="78">
        <f>'[1]BS02.VPSO'!D47/1000000</f>
        <v>16</v>
      </c>
      <c r="E52" s="85"/>
      <c r="F52" s="40">
        <f t="shared" si="1"/>
        <v>0</v>
      </c>
      <c r="G52" s="60"/>
      <c r="H52" s="41"/>
      <c r="K52" s="86"/>
    </row>
    <row r="53" spans="2:11" ht="14.25" customHeight="1" x14ac:dyDescent="0.25">
      <c r="B53" s="45" t="s">
        <v>69</v>
      </c>
      <c r="C53" s="77" t="s">
        <v>70</v>
      </c>
      <c r="D53" s="78">
        <f>'[1]BS02.VPSO'!D48/1000000</f>
        <v>50</v>
      </c>
      <c r="E53" s="85">
        <f>12.95-'[1]BS03.QII-2022 '!E53-'[1]BS03.QI-2022'!E53</f>
        <v>3.4369999999999985</v>
      </c>
      <c r="F53" s="40">
        <f t="shared" si="1"/>
        <v>6.8739999999999968E-2</v>
      </c>
      <c r="G53" s="85">
        <v>4.274</v>
      </c>
      <c r="H53" s="41">
        <f t="shared" ref="H53:H58" si="6">E53/G53</f>
        <v>0.80416471689284008</v>
      </c>
      <c r="K53" s="87"/>
    </row>
    <row r="54" spans="2:11" x14ac:dyDescent="0.25">
      <c r="B54" s="45" t="s">
        <v>71</v>
      </c>
      <c r="C54" s="77" t="s">
        <v>72</v>
      </c>
      <c r="D54" s="78">
        <f>'[1]BS02.VPSO'!D49/1000000</f>
        <v>90</v>
      </c>
      <c r="E54" s="85"/>
      <c r="F54" s="40">
        <f t="shared" si="1"/>
        <v>0</v>
      </c>
      <c r="G54" s="85"/>
      <c r="H54" s="41"/>
    </row>
    <row r="55" spans="2:11" x14ac:dyDescent="0.25">
      <c r="B55" s="45" t="s">
        <v>73</v>
      </c>
      <c r="C55" s="77" t="s">
        <v>74</v>
      </c>
      <c r="D55" s="78">
        <f>'[1]BS02.VPSO'!D50/1000000</f>
        <v>54</v>
      </c>
      <c r="E55" s="85">
        <f>53.02-'[1]BS03.QII-2022 '!E55-'[1]BS03.QI-2022'!E55</f>
        <v>53.02</v>
      </c>
      <c r="F55" s="40">
        <f t="shared" si="1"/>
        <v>0.98185185185185186</v>
      </c>
      <c r="G55" s="85"/>
      <c r="H55" s="41"/>
    </row>
    <row r="56" spans="2:11" x14ac:dyDescent="0.25">
      <c r="B56" s="45" t="s">
        <v>75</v>
      </c>
      <c r="C56" s="77" t="s">
        <v>76</v>
      </c>
      <c r="D56" s="78">
        <f>'[1]BS02.VPSO'!D51/1000000</f>
        <v>10</v>
      </c>
      <c r="E56" s="85"/>
      <c r="F56" s="40">
        <f t="shared" si="1"/>
        <v>0</v>
      </c>
      <c r="G56" s="85"/>
      <c r="H56" s="41"/>
    </row>
    <row r="57" spans="2:11" x14ac:dyDescent="0.25">
      <c r="B57" s="45" t="s">
        <v>77</v>
      </c>
      <c r="C57" s="77" t="s">
        <v>78</v>
      </c>
      <c r="D57" s="78">
        <f>'[1]BS02.VPSO'!D52/1000000</f>
        <v>5</v>
      </c>
      <c r="E57" s="85"/>
      <c r="F57" s="40">
        <f t="shared" si="1"/>
        <v>0</v>
      </c>
      <c r="G57" s="85"/>
      <c r="H57" s="41"/>
    </row>
    <row r="58" spans="2:11" ht="14.25" customHeight="1" x14ac:dyDescent="0.25">
      <c r="B58" s="45" t="s">
        <v>79</v>
      </c>
      <c r="C58" s="77" t="s">
        <v>80</v>
      </c>
      <c r="D58" s="78">
        <f>'[1]BS02.VPSO'!D53/1000000</f>
        <v>78</v>
      </c>
      <c r="E58" s="85">
        <f>4.63-'[1]BS03.QII-2022 '!E58-'[1]BS03.QI-2022'!E58</f>
        <v>4.9999999999998934E-3</v>
      </c>
      <c r="F58" s="40">
        <f t="shared" si="1"/>
        <v>6.4102564102562734E-5</v>
      </c>
      <c r="G58" s="85">
        <v>4.5</v>
      </c>
      <c r="H58" s="41">
        <f t="shared" si="6"/>
        <v>1.1111111111110875E-3</v>
      </c>
    </row>
    <row r="59" spans="2:11" ht="15.75" customHeight="1" x14ac:dyDescent="0.25">
      <c r="B59" s="45" t="s">
        <v>81</v>
      </c>
      <c r="C59" s="77" t="s">
        <v>82</v>
      </c>
      <c r="D59" s="78">
        <f>'[1]BS02.VPSO'!D54/1000000</f>
        <v>2357</v>
      </c>
      <c r="E59" s="78">
        <f>1814.89-'[1]BS03.QII-2022 '!E59-'[1]BS03.QI-2022'!E59</f>
        <v>980.61400000000015</v>
      </c>
      <c r="F59" s="40">
        <f t="shared" si="1"/>
        <v>0.41604327535002128</v>
      </c>
      <c r="G59" s="85">
        <v>14.352</v>
      </c>
      <c r="H59" s="41">
        <f>E59/G59</f>
        <v>68.32594760312152</v>
      </c>
      <c r="K59" s="80"/>
    </row>
    <row r="60" spans="2:11" ht="36" x14ac:dyDescent="0.25">
      <c r="B60" s="45" t="s">
        <v>83</v>
      </c>
      <c r="C60" s="88" t="s">
        <v>84</v>
      </c>
      <c r="D60" s="78">
        <f>'[1]BS02.VPSO'!D60/1000000</f>
        <v>72</v>
      </c>
      <c r="E60" s="89">
        <f>9.32-'[1]BS03.QII-2022 '!E60-'[1]BS03.QI-2022'!E60</f>
        <v>2.9080000000000004</v>
      </c>
      <c r="F60" s="40">
        <f t="shared" si="1"/>
        <v>4.0388888888888891E-2</v>
      </c>
      <c r="G60" s="60">
        <v>7.2210000000000001</v>
      </c>
      <c r="H60" s="41">
        <f>E60/G60</f>
        <v>0.40271430549785353</v>
      </c>
      <c r="J60" s="80"/>
    </row>
    <row r="61" spans="2:11" ht="15.75" customHeight="1" x14ac:dyDescent="0.25">
      <c r="B61" s="45" t="s">
        <v>85</v>
      </c>
      <c r="C61" s="88" t="s">
        <v>86</v>
      </c>
      <c r="D61" s="78">
        <f>59.8+82</f>
        <v>141.80000000000001</v>
      </c>
      <c r="E61" s="89"/>
      <c r="F61" s="57"/>
      <c r="G61" s="60">
        <v>189.07</v>
      </c>
      <c r="H61" s="36"/>
      <c r="J61" s="80"/>
    </row>
    <row r="62" spans="2:11" x14ac:dyDescent="0.25">
      <c r="B62" s="43">
        <v>2</v>
      </c>
      <c r="C62" s="44" t="s">
        <v>87</v>
      </c>
      <c r="D62" s="71">
        <f>SUM(D63,)</f>
        <v>62017.021000000001</v>
      </c>
      <c r="E62" s="71">
        <f>SUM(E63,)</f>
        <v>4723.9299999999994</v>
      </c>
      <c r="F62" s="90">
        <f t="shared" si="1"/>
        <v>7.617150781879703E-2</v>
      </c>
      <c r="G62" s="71">
        <f t="shared" ref="G62" si="7">SUM(G63:G64)</f>
        <v>10307.58</v>
      </c>
      <c r="H62" s="75">
        <f t="shared" si="0"/>
        <v>0.45829670979997239</v>
      </c>
    </row>
    <row r="63" spans="2:11" x14ac:dyDescent="0.25">
      <c r="B63" s="43" t="s">
        <v>29</v>
      </c>
      <c r="C63" s="44" t="s">
        <v>38</v>
      </c>
      <c r="D63" s="71">
        <f>D64</f>
        <v>62017.021000000001</v>
      </c>
      <c r="E63" s="71">
        <f t="shared" ref="E63:H63" si="8">E64</f>
        <v>4723.9299999999994</v>
      </c>
      <c r="F63" s="90">
        <f t="shared" si="1"/>
        <v>7.617150781879703E-2</v>
      </c>
      <c r="G63" s="71">
        <f t="shared" si="8"/>
        <v>5153.79</v>
      </c>
      <c r="H63" s="71">
        <f t="shared" si="8"/>
        <v>2.1005776610583475</v>
      </c>
    </row>
    <row r="64" spans="2:11" x14ac:dyDescent="0.25">
      <c r="B64" s="43" t="s">
        <v>31</v>
      </c>
      <c r="C64" s="44" t="s">
        <v>39</v>
      </c>
      <c r="D64" s="71">
        <f>SUM(D65:D67)</f>
        <v>62017.021000000001</v>
      </c>
      <c r="E64" s="71">
        <f>SUM(E65:E67)</f>
        <v>4723.9299999999994</v>
      </c>
      <c r="F64" s="90">
        <f>E64/D64</f>
        <v>7.617150781879703E-2</v>
      </c>
      <c r="G64" s="71">
        <f>SUM(G65:G67)</f>
        <v>5153.79</v>
      </c>
      <c r="H64" s="71">
        <f>SUM(H65:H67)</f>
        <v>2.1005776610583475</v>
      </c>
    </row>
    <row r="65" spans="2:8" hidden="1" x14ac:dyDescent="0.25">
      <c r="B65" s="91" t="s">
        <v>88</v>
      </c>
      <c r="C65" s="77" t="s">
        <v>89</v>
      </c>
      <c r="D65" s="78"/>
      <c r="E65" s="92"/>
      <c r="F65" s="93"/>
      <c r="G65" s="60"/>
      <c r="H65" s="94"/>
    </row>
    <row r="66" spans="2:8" x14ac:dyDescent="0.25">
      <c r="B66" s="91" t="s">
        <v>88</v>
      </c>
      <c r="C66" s="77" t="s">
        <v>90</v>
      </c>
      <c r="D66" s="78">
        <v>60017.021000000001</v>
      </c>
      <c r="E66" s="78">
        <f>6602.49-'[1]BS03.QII-2022 '!E66-'[1]BS03.QI-2022'!E66</f>
        <v>4153.6899999999996</v>
      </c>
      <c r="F66" s="40">
        <f t="shared" si="1"/>
        <v>6.9208533359228205E-2</v>
      </c>
      <c r="G66" s="78">
        <v>4683.99</v>
      </c>
      <c r="H66" s="41">
        <f>E66/G66</f>
        <v>0.88678455761007169</v>
      </c>
    </row>
    <row r="67" spans="2:8" x14ac:dyDescent="0.25">
      <c r="B67" s="91" t="s">
        <v>91</v>
      </c>
      <c r="C67" s="95" t="s">
        <v>92</v>
      </c>
      <c r="D67" s="96">
        <v>2000</v>
      </c>
      <c r="E67" s="97">
        <f>570.24-'[1]BS03.QII-2022 '!E67-'[1]BS03.QI-2022'!E67</f>
        <v>570.24</v>
      </c>
      <c r="F67" s="40">
        <f t="shared" si="1"/>
        <v>0.28511999999999998</v>
      </c>
      <c r="G67" s="98">
        <v>469.8</v>
      </c>
      <c r="H67" s="41">
        <f>E67/G67</f>
        <v>1.2137931034482758</v>
      </c>
    </row>
    <row r="68" spans="2:8" x14ac:dyDescent="0.25">
      <c r="B68" s="99">
        <v>3</v>
      </c>
      <c r="C68" s="44" t="s">
        <v>93</v>
      </c>
      <c r="D68" s="100">
        <f>D69</f>
        <v>50132</v>
      </c>
      <c r="E68" s="100">
        <f>E69</f>
        <v>3376.3759999999993</v>
      </c>
      <c r="F68" s="90">
        <f t="shared" si="1"/>
        <v>6.7349716747785837E-2</v>
      </c>
      <c r="G68" s="100">
        <f t="shared" ref="G68" si="9">G69</f>
        <v>8436.1270000000004</v>
      </c>
      <c r="H68" s="75">
        <f t="shared" si="0"/>
        <v>0.40022820898737055</v>
      </c>
    </row>
    <row r="69" spans="2:8" x14ac:dyDescent="0.25">
      <c r="B69" s="101"/>
      <c r="C69" s="77" t="s">
        <v>94</v>
      </c>
      <c r="D69" s="102">
        <v>50132</v>
      </c>
      <c r="E69" s="103">
        <f>-5185.014+8561.39</f>
        <v>3376.3759999999993</v>
      </c>
      <c r="F69" s="40">
        <f t="shared" si="1"/>
        <v>6.7349716747785837E-2</v>
      </c>
      <c r="G69" s="104">
        <v>8436.1270000000004</v>
      </c>
      <c r="H69" s="41">
        <f>E69/G69</f>
        <v>0.40022820898737055</v>
      </c>
    </row>
    <row r="70" spans="2:8" ht="14.25" customHeight="1" x14ac:dyDescent="0.25">
      <c r="B70" s="99">
        <v>4</v>
      </c>
      <c r="C70" s="105" t="s">
        <v>95</v>
      </c>
      <c r="D70" s="106">
        <f>SUM(D71)</f>
        <v>16</v>
      </c>
      <c r="E70" s="107">
        <f>E71</f>
        <v>0</v>
      </c>
      <c r="F70" s="34">
        <f t="shared" si="1"/>
        <v>0</v>
      </c>
      <c r="G70" s="108">
        <f>G71</f>
        <v>0</v>
      </c>
      <c r="H70" s="36"/>
    </row>
    <row r="71" spans="2:8" ht="14.25" customHeight="1" x14ac:dyDescent="0.25">
      <c r="B71" s="109"/>
      <c r="C71" s="88" t="s">
        <v>96</v>
      </c>
      <c r="D71" s="110">
        <v>16</v>
      </c>
      <c r="E71" s="111"/>
      <c r="F71" s="40"/>
      <c r="G71" s="112"/>
      <c r="H71" s="41"/>
    </row>
    <row r="72" spans="2:8" s="115" customFormat="1" ht="14.25" customHeight="1" x14ac:dyDescent="0.25">
      <c r="B72" s="99">
        <v>5</v>
      </c>
      <c r="C72" s="113" t="s">
        <v>97</v>
      </c>
      <c r="D72" s="106">
        <v>55</v>
      </c>
      <c r="E72" s="107">
        <v>1.84</v>
      </c>
      <c r="F72" s="34">
        <f t="shared" si="1"/>
        <v>3.3454545454545459E-2</v>
      </c>
      <c r="G72" s="114"/>
      <c r="H72" s="36"/>
    </row>
    <row r="73" spans="2:8" x14ac:dyDescent="0.25">
      <c r="B73" s="116" t="s">
        <v>98</v>
      </c>
      <c r="C73" s="117" t="s">
        <v>99</v>
      </c>
      <c r="D73" s="118">
        <f>D74+D75</f>
        <v>1171.298</v>
      </c>
      <c r="E73" s="118">
        <f t="shared" ref="E73:H73" si="10">E74+E75</f>
        <v>42.265000000000015</v>
      </c>
      <c r="F73" s="118">
        <f t="shared" si="1"/>
        <v>3.6083900083497121E-2</v>
      </c>
      <c r="G73" s="118">
        <f t="shared" si="10"/>
        <v>0</v>
      </c>
      <c r="H73" s="118">
        <f t="shared" si="10"/>
        <v>0</v>
      </c>
    </row>
    <row r="74" spans="2:8" ht="18.75" customHeight="1" x14ac:dyDescent="0.25">
      <c r="B74" s="45">
        <v>1</v>
      </c>
      <c r="C74" s="88" t="s">
        <v>100</v>
      </c>
      <c r="D74" s="39">
        <v>1171.298</v>
      </c>
      <c r="E74" s="39">
        <f>147.08-'[1]BS03.QII-2022 '!E74-'[1]BS03.QI-2022'!E74</f>
        <v>42.265000000000015</v>
      </c>
      <c r="F74" s="119"/>
      <c r="G74" s="60"/>
      <c r="H74" s="41"/>
    </row>
    <row r="75" spans="2:8" ht="16.5" customHeight="1" x14ac:dyDescent="0.25">
      <c r="B75" s="120">
        <v>2</v>
      </c>
      <c r="C75" s="121" t="s">
        <v>101</v>
      </c>
      <c r="D75" s="122"/>
      <c r="E75" s="122"/>
      <c r="F75" s="123"/>
      <c r="G75" s="124"/>
      <c r="H75" s="123"/>
    </row>
    <row r="76" spans="2:8" ht="8.25" customHeight="1" x14ac:dyDescent="0.25"/>
    <row r="77" spans="2:8" ht="13.5" customHeight="1" x14ac:dyDescent="0.25">
      <c r="F77" s="125" t="s">
        <v>102</v>
      </c>
      <c r="G77" s="126"/>
      <c r="H77" s="127"/>
    </row>
    <row r="78" spans="2:8" ht="13.5" customHeight="1" x14ac:dyDescent="0.25">
      <c r="F78" s="128" t="s">
        <v>103</v>
      </c>
      <c r="G78" s="129"/>
      <c r="H78" s="130"/>
    </row>
  </sheetData>
  <mergeCells count="5">
    <mergeCell ref="B1:H1"/>
    <mergeCell ref="A5:H5"/>
    <mergeCell ref="B6:H6"/>
    <mergeCell ref="B7:H7"/>
    <mergeCell ref="B8:H8"/>
  </mergeCells>
  <pageMargins left="0.39370078740157483" right="0.39370078740157483"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BS03.QIII-2022</vt:lpstr>
      <vt:lpstr>'BS03.QIII-2022'!Print_Titles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DELL2021</dc:creator>
  <cp:lastModifiedBy>DELL2021</cp:lastModifiedBy>
  <dcterms:created xsi:type="dcterms:W3CDTF">2022-10-21T01:38:05Z</dcterms:created>
  <dcterms:modified xsi:type="dcterms:W3CDTF">2022-10-21T01:38:25Z</dcterms:modified>
</cp:coreProperties>
</file>